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開業\ホームページ掲載\original\"/>
    </mc:Choice>
  </mc:AlternateContent>
  <xr:revisionPtr revIDLastSave="0" documentId="8_{6F844B55-1008-4BC0-947D-79722557F312}" xr6:coauthVersionLast="47" xr6:coauthVersionMax="47" xr10:uidLastSave="{00000000-0000-0000-0000-000000000000}"/>
  <bookViews>
    <workbookView xWindow="-120" yWindow="-120" windowWidth="29040" windowHeight="15720" xr2:uid="{E33F2ED5-3F9E-4DAD-B7DB-5F8D99BC3A2A}"/>
  </bookViews>
  <sheets>
    <sheet name="①一生分収入" sheetId="2" r:id="rId1"/>
    <sheet name="②家族が必要なお金生活費" sheetId="3" r:id="rId2"/>
    <sheet name="③ご提案" sheetId="4" r:id="rId3"/>
    <sheet name="おまけ" sheetId="1" r:id="rId4"/>
  </sheets>
  <definedNames>
    <definedName name="_xlnm.Print_Area" localSheetId="1">②家族が必要なお金生活費!$A$1:$F$88</definedName>
    <definedName name="_xlnm.Print_Area" localSheetId="2">③ご提案!$A$1:$C$33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 r="B19" i="4"/>
  <c r="B21" i="4" s="1"/>
  <c r="B18" i="4"/>
  <c r="F77" i="3"/>
  <c r="E77" i="3"/>
  <c r="E76" i="3"/>
  <c r="F76" i="3" s="1"/>
  <c r="E75" i="3"/>
  <c r="E74" i="3"/>
  <c r="F73" i="3"/>
  <c r="E73" i="3"/>
  <c r="E72" i="3"/>
  <c r="E71" i="3"/>
  <c r="E70" i="3"/>
  <c r="E69" i="3"/>
  <c r="F69" i="3" s="1"/>
  <c r="E68" i="3"/>
  <c r="E67" i="3"/>
  <c r="F66" i="3"/>
  <c r="E66" i="3"/>
  <c r="E65" i="3"/>
  <c r="E64" i="3"/>
  <c r="E63" i="3"/>
  <c r="F62" i="3" s="1"/>
  <c r="F78" i="3" s="1"/>
  <c r="G78" i="3" s="1"/>
  <c r="E62" i="3"/>
  <c r="F56" i="3"/>
  <c r="E56" i="3"/>
  <c r="B56" i="3"/>
  <c r="F54" i="3"/>
  <c r="C54" i="3"/>
  <c r="B54" i="3"/>
  <c r="E53" i="3"/>
  <c r="D53" i="3"/>
  <c r="C53" i="3"/>
  <c r="B10" i="4" s="1"/>
  <c r="D37" i="3"/>
  <c r="C37" i="3"/>
  <c r="F37" i="3" s="1"/>
  <c r="D36" i="3"/>
  <c r="C36" i="3"/>
  <c r="F36" i="3" s="1"/>
  <c r="D35" i="3"/>
  <c r="F35" i="3" s="1"/>
  <c r="D34" i="3"/>
  <c r="F34" i="3" s="1"/>
  <c r="D33" i="3"/>
  <c r="F33" i="3" s="1"/>
  <c r="F32" i="3"/>
  <c r="B27" i="3"/>
  <c r="B26" i="3"/>
  <c r="B25" i="3"/>
  <c r="B24" i="3"/>
  <c r="C18" i="3"/>
  <c r="D17" i="3"/>
  <c r="D16" i="3"/>
  <c r="D15" i="3"/>
  <c r="D14" i="3"/>
  <c r="D13" i="3"/>
  <c r="D12" i="3"/>
  <c r="D11" i="3"/>
  <c r="D10" i="3"/>
  <c r="D9" i="3"/>
  <c r="D8" i="3"/>
  <c r="D7" i="3"/>
  <c r="D6" i="3"/>
  <c r="D5" i="3"/>
  <c r="D4" i="3"/>
  <c r="D3" i="3"/>
  <c r="D18" i="3" s="1"/>
  <c r="J59" i="2"/>
  <c r="J58" i="2"/>
  <c r="K56" i="2" s="1"/>
  <c r="J57" i="2"/>
  <c r="J56" i="2"/>
  <c r="J54" i="2"/>
  <c r="K54" i="2" s="1"/>
  <c r="K49" i="2"/>
  <c r="L54" i="2" s="1"/>
  <c r="J49" i="2"/>
  <c r="F44" i="2"/>
  <c r="F42" i="2"/>
  <c r="G42" i="2" s="1"/>
  <c r="G40" i="2"/>
  <c r="H38" i="2"/>
  <c r="I34" i="2"/>
  <c r="J33" i="2"/>
  <c r="I33" i="2"/>
  <c r="H31" i="2"/>
  <c r="C30" i="2"/>
  <c r="J34" i="2" s="1"/>
  <c r="H22" i="2"/>
  <c r="J22" i="2" s="1"/>
  <c r="G22" i="2"/>
  <c r="F22" i="2"/>
  <c r="F21" i="2"/>
  <c r="F20" i="2"/>
  <c r="C20" i="2"/>
  <c r="G20" i="2" s="1"/>
  <c r="I14" i="2"/>
  <c r="G14" i="2"/>
  <c r="F14" i="2"/>
  <c r="G13" i="2"/>
  <c r="I13" i="2" s="1"/>
  <c r="F13" i="2"/>
  <c r="G12" i="2"/>
  <c r="F12" i="2"/>
  <c r="C11" i="2"/>
  <c r="G10" i="2"/>
  <c r="H10" i="2" s="1"/>
  <c r="J10" i="2" s="1"/>
  <c r="C10" i="2"/>
  <c r="C21" i="2" s="1"/>
  <c r="G21" i="2" s="1"/>
  <c r="G9" i="2"/>
  <c r="H9" i="2" s="1"/>
  <c r="J9" i="2" s="1"/>
  <c r="B28" i="1"/>
  <c r="B26" i="1"/>
  <c r="B27" i="1" s="1"/>
  <c r="E22" i="1"/>
  <c r="B22" i="1"/>
  <c r="E21" i="1"/>
  <c r="B21" i="1"/>
  <c r="E12" i="1"/>
  <c r="E8" i="1"/>
  <c r="E7" i="1"/>
  <c r="E6" i="1"/>
  <c r="E5" i="1"/>
  <c r="E4" i="1"/>
  <c r="E27" i="1" l="1"/>
  <c r="E9" i="1"/>
  <c r="E15" i="1" s="1"/>
  <c r="H40" i="2"/>
  <c r="J40" i="2" s="1"/>
  <c r="K40" i="2" s="1"/>
  <c r="I20" i="2"/>
  <c r="H20" i="2"/>
  <c r="F25" i="3"/>
  <c r="L59" i="2"/>
  <c r="B6" i="4"/>
  <c r="F27" i="3"/>
  <c r="F43" i="2"/>
  <c r="G43" i="2" s="1"/>
  <c r="C24" i="3"/>
  <c r="F24" i="3" s="1"/>
  <c r="C27" i="3"/>
  <c r="C25" i="3"/>
  <c r="C26" i="3"/>
  <c r="F26" i="3" s="1"/>
  <c r="H21" i="2"/>
  <c r="I21" i="2"/>
  <c r="F38" i="3"/>
  <c r="F57" i="3"/>
  <c r="G57" i="3" s="1"/>
  <c r="J13" i="2"/>
  <c r="L49" i="2"/>
  <c r="B55" i="3"/>
  <c r="D55" i="3" s="1"/>
  <c r="F55" i="3" s="1"/>
  <c r="I12" i="2"/>
  <c r="H12" i="2"/>
  <c r="J12" i="2" s="1"/>
  <c r="J31" i="2"/>
  <c r="K31" i="2" s="1"/>
  <c r="L34" i="2" s="1"/>
  <c r="B9" i="4" l="1"/>
  <c r="B11" i="4" s="1"/>
  <c r="F28" i="3"/>
  <c r="G28" i="3" s="1"/>
  <c r="L44" i="2"/>
  <c r="B5" i="4"/>
  <c r="J20" i="2"/>
  <c r="B4" i="4"/>
  <c r="B23" i="4"/>
  <c r="B25" i="4" s="1"/>
  <c r="B31" i="4" s="1"/>
  <c r="G38" i="3"/>
  <c r="J21" i="2"/>
  <c r="J14" i="2"/>
  <c r="K14" i="2" s="1"/>
  <c r="L14" i="2" l="1"/>
  <c r="B3" i="4"/>
  <c r="B7" i="4" s="1"/>
  <c r="B13" i="4" s="1"/>
  <c r="K20" i="2"/>
  <c r="L22" i="2" s="1"/>
  <c r="F82" i="3"/>
  <c r="F87" i="3" s="1"/>
  <c r="B30" i="4" l="1"/>
  <c r="B15" i="4"/>
  <c r="K62" i="2"/>
  <c r="F86" i="3" s="1"/>
  <c r="F88" i="3" s="1"/>
  <c r="B29" i="4" s="1"/>
  <c r="B32" i="4" s="1"/>
</calcChain>
</file>

<file path=xl/sharedStrings.xml><?xml version="1.0" encoding="utf-8"?>
<sst xmlns="http://schemas.openxmlformats.org/spreadsheetml/2006/main" count="274" uniqueCount="227">
  <si>
    <t>黄色部分のみ入力可能です</t>
    <rPh sb="0" eb="2">
      <t>キイロ</t>
    </rPh>
    <rPh sb="2" eb="4">
      <t>ブブン</t>
    </rPh>
    <rPh sb="6" eb="8">
      <t>ニュウリョク</t>
    </rPh>
    <rPh sb="8" eb="10">
      <t>カノウ</t>
    </rPh>
    <phoneticPr fontId="4"/>
  </si>
  <si>
    <t>自動車からタクシーへの見直し</t>
    <rPh sb="0" eb="3">
      <t>ジドウシャ</t>
    </rPh>
    <rPh sb="11" eb="13">
      <t>ミナオ</t>
    </rPh>
    <phoneticPr fontId="4"/>
  </si>
  <si>
    <t>購入費用（ローンの場合は総支払額）</t>
    <rPh sb="0" eb="2">
      <t>コウニュウ</t>
    </rPh>
    <rPh sb="2" eb="4">
      <t>ヒヨウ</t>
    </rPh>
    <rPh sb="9" eb="11">
      <t>バアイ</t>
    </rPh>
    <rPh sb="12" eb="16">
      <t>ソウシハライガク</t>
    </rPh>
    <phoneticPr fontId="4"/>
  </si>
  <si>
    <t>６年間の自動車税</t>
    <rPh sb="1" eb="3">
      <t>ネンカン</t>
    </rPh>
    <rPh sb="4" eb="7">
      <t>ジドウシャ</t>
    </rPh>
    <rPh sb="7" eb="8">
      <t>ゼイ</t>
    </rPh>
    <phoneticPr fontId="4"/>
  </si>
  <si>
    <t>×</t>
    <phoneticPr fontId="4"/>
  </si>
  <si>
    <t>車検費用総額</t>
    <rPh sb="0" eb="2">
      <t>シャケン</t>
    </rPh>
    <rPh sb="2" eb="6">
      <t>ヒヨウソウガク</t>
    </rPh>
    <phoneticPr fontId="4"/>
  </si>
  <si>
    <t>6年間のガソリン代</t>
    <rPh sb="1" eb="3">
      <t>ネンカン</t>
    </rPh>
    <rPh sb="8" eb="9">
      <t>ダイ</t>
    </rPh>
    <phoneticPr fontId="4"/>
  </si>
  <si>
    <t>6年間の駐車代</t>
    <rPh sb="1" eb="3">
      <t>ネンカン</t>
    </rPh>
    <rPh sb="4" eb="6">
      <t>チュウシャ</t>
    </rPh>
    <rPh sb="6" eb="7">
      <t>ダイ</t>
    </rPh>
    <phoneticPr fontId="4"/>
  </si>
  <si>
    <t>6年間の任意自動車保険</t>
    <rPh sb="1" eb="3">
      <t>ネンカン</t>
    </rPh>
    <rPh sb="4" eb="9">
      <t>ニンイジドウシャ</t>
    </rPh>
    <rPh sb="9" eb="11">
      <t>ホケン</t>
    </rPh>
    <phoneticPr fontId="4"/>
  </si>
  <si>
    <t>合計</t>
    <rPh sb="0" eb="2">
      <t>ゴウケイ</t>
    </rPh>
    <phoneticPr fontId="4"/>
  </si>
  <si>
    <t>A）</t>
    <phoneticPr fontId="4"/>
  </si>
  <si>
    <t>お住まいの地域でタクシーを利用した場合</t>
    <rPh sb="1" eb="2">
      <t>ス</t>
    </rPh>
    <rPh sb="5" eb="7">
      <t>チイキ</t>
    </rPh>
    <rPh sb="13" eb="15">
      <t>リヨウ</t>
    </rPh>
    <rPh sb="17" eb="19">
      <t>バアイ</t>
    </rPh>
    <phoneticPr fontId="4"/>
  </si>
  <si>
    <t>月利用回数</t>
    <rPh sb="0" eb="1">
      <t>ツキ</t>
    </rPh>
    <rPh sb="1" eb="3">
      <t>リヨウ</t>
    </rPh>
    <rPh sb="3" eb="5">
      <t>カイスウ</t>
    </rPh>
    <phoneticPr fontId="4"/>
  </si>
  <si>
    <t>1回あたり料金</t>
    <rPh sb="1" eb="2">
      <t>カイ</t>
    </rPh>
    <rPh sb="5" eb="7">
      <t>リョウキン</t>
    </rPh>
    <phoneticPr fontId="4"/>
  </si>
  <si>
    <t>B)</t>
    <phoneticPr fontId="4"/>
  </si>
  <si>
    <t>結果（AとBで比較）</t>
    <rPh sb="0" eb="2">
      <t>ケッカ</t>
    </rPh>
    <rPh sb="7" eb="9">
      <t>ヒカク</t>
    </rPh>
    <phoneticPr fontId="4"/>
  </si>
  <si>
    <t>住宅ローンの目安</t>
    <rPh sb="0" eb="2">
      <t>ジュウタク</t>
    </rPh>
    <rPh sb="6" eb="8">
      <t>メヤス</t>
    </rPh>
    <phoneticPr fontId="4"/>
  </si>
  <si>
    <t>一般には・・・</t>
    <rPh sb="0" eb="2">
      <t>イッパン</t>
    </rPh>
    <phoneticPr fontId="4"/>
  </si>
  <si>
    <t>現実には・・・</t>
    <rPh sb="0" eb="2">
      <t>ゲンジツ</t>
    </rPh>
    <phoneticPr fontId="4"/>
  </si>
  <si>
    <t>手取年収①</t>
    <rPh sb="0" eb="4">
      <t>テドリネンシュウ</t>
    </rPh>
    <phoneticPr fontId="4"/>
  </si>
  <si>
    <t>額面年収②</t>
    <rPh sb="0" eb="1">
      <t>ガク</t>
    </rPh>
    <rPh sb="1" eb="2">
      <t>メン</t>
    </rPh>
    <rPh sb="2" eb="4">
      <t>ネンシュウ</t>
    </rPh>
    <phoneticPr fontId="4"/>
  </si>
  <si>
    <t>年間返済額（①の30％）</t>
    <rPh sb="0" eb="2">
      <t>ネンカン</t>
    </rPh>
    <rPh sb="2" eb="4">
      <t>ヘンサイ</t>
    </rPh>
    <rPh sb="4" eb="5">
      <t>ガク</t>
    </rPh>
    <phoneticPr fontId="4"/>
  </si>
  <si>
    <t>年間返済額（②の10％）</t>
    <rPh sb="0" eb="2">
      <t>ネンカン</t>
    </rPh>
    <rPh sb="2" eb="4">
      <t>ヘンサイ</t>
    </rPh>
    <rPh sb="4" eb="5">
      <t>ガク</t>
    </rPh>
    <phoneticPr fontId="4"/>
  </si>
  <si>
    <t>総借入限度額（①の5倍）</t>
    <rPh sb="0" eb="3">
      <t>ソウカリイレ</t>
    </rPh>
    <rPh sb="3" eb="5">
      <t>ゲンド</t>
    </rPh>
    <rPh sb="5" eb="6">
      <t>ガク</t>
    </rPh>
    <rPh sb="10" eb="11">
      <t>バイ</t>
    </rPh>
    <phoneticPr fontId="4"/>
  </si>
  <si>
    <t>総借入限度額（②の3倍）</t>
    <rPh sb="0" eb="3">
      <t>ソウカリイレ</t>
    </rPh>
    <rPh sb="3" eb="5">
      <t>ゲンド</t>
    </rPh>
    <rPh sb="5" eb="6">
      <t>ガク</t>
    </rPh>
    <rPh sb="10" eb="11">
      <t>バイ</t>
    </rPh>
    <phoneticPr fontId="4"/>
  </si>
  <si>
    <t>C)</t>
    <phoneticPr fontId="4"/>
  </si>
  <si>
    <t>頭金の目安</t>
    <rPh sb="0" eb="2">
      <t>アタマキン</t>
    </rPh>
    <rPh sb="3" eb="5">
      <t>メヤス</t>
    </rPh>
    <phoneticPr fontId="4"/>
  </si>
  <si>
    <t>物件価格③</t>
    <rPh sb="0" eb="2">
      <t>ブッケン</t>
    </rPh>
    <rPh sb="2" eb="4">
      <t>カカク</t>
    </rPh>
    <phoneticPr fontId="4"/>
  </si>
  <si>
    <t>頭金(③の20％）</t>
    <rPh sb="0" eb="2">
      <t>アタマキン</t>
    </rPh>
    <phoneticPr fontId="4"/>
  </si>
  <si>
    <t>差引：住宅ローン</t>
    <rPh sb="0" eb="2">
      <t>サシヒキ</t>
    </rPh>
    <rPh sb="3" eb="5">
      <t>ジュウタク</t>
    </rPh>
    <phoneticPr fontId="4"/>
  </si>
  <si>
    <t>D)</t>
    <phoneticPr fontId="4"/>
  </si>
  <si>
    <t>結果（CとDで比較）</t>
    <rPh sb="0" eb="2">
      <t>ケッカ</t>
    </rPh>
    <rPh sb="7" eb="9">
      <t>ヒカク</t>
    </rPh>
    <phoneticPr fontId="4"/>
  </si>
  <si>
    <t>諸経費(③の10％）</t>
    <rPh sb="0" eb="3">
      <t>ショケイヒ</t>
    </rPh>
    <phoneticPr fontId="4"/>
  </si>
  <si>
    <t>※頭金・諸経費の率は適宜、変更されてください</t>
    <rPh sb="1" eb="3">
      <t>アタマキン</t>
    </rPh>
    <rPh sb="4" eb="7">
      <t>ショケイヒ</t>
    </rPh>
    <rPh sb="8" eb="9">
      <t>リツ</t>
    </rPh>
    <rPh sb="10" eb="12">
      <t>テキギ</t>
    </rPh>
    <rPh sb="13" eb="15">
      <t>ヘンコウ</t>
    </rPh>
    <phoneticPr fontId="4"/>
  </si>
  <si>
    <t>2026年4月時点の法令に準拠して一般的なケースで作成しました　ご参考にされてください</t>
    <rPh sb="4" eb="5">
      <t>ネン</t>
    </rPh>
    <rPh sb="6" eb="7">
      <t>ツキ</t>
    </rPh>
    <rPh sb="7" eb="9">
      <t>ジテン</t>
    </rPh>
    <rPh sb="10" eb="12">
      <t>ホウレイ</t>
    </rPh>
    <rPh sb="13" eb="15">
      <t>ジュンキョ</t>
    </rPh>
    <rPh sb="17" eb="19">
      <t>イッパン</t>
    </rPh>
    <rPh sb="19" eb="20">
      <t>テキ</t>
    </rPh>
    <rPh sb="25" eb="27">
      <t>サクセイ</t>
    </rPh>
    <rPh sb="33" eb="35">
      <t>サンコウ</t>
    </rPh>
    <phoneticPr fontId="4"/>
  </si>
  <si>
    <t>手順：①一生分収入⇒②家族が必要なお金⇒③ご提案　で黄色箇所のみ入力されてください</t>
    <rPh sb="0" eb="2">
      <t>テジュン</t>
    </rPh>
    <rPh sb="4" eb="7">
      <t>イッショウブン</t>
    </rPh>
    <rPh sb="7" eb="9">
      <t>シュウニュウ</t>
    </rPh>
    <rPh sb="11" eb="13">
      <t>カゾク</t>
    </rPh>
    <rPh sb="14" eb="16">
      <t>ヒツヨウ</t>
    </rPh>
    <rPh sb="18" eb="19">
      <t>カネ</t>
    </rPh>
    <rPh sb="22" eb="24">
      <t>テイアン</t>
    </rPh>
    <rPh sb="26" eb="28">
      <t>キイロ</t>
    </rPh>
    <rPh sb="28" eb="30">
      <t>カショ</t>
    </rPh>
    <rPh sb="32" eb="34">
      <t>ニュウリョク</t>
    </rPh>
    <phoneticPr fontId="4"/>
  </si>
  <si>
    <t>※この中で対応できないもの複雑なケースは、ご希望によりFP名人を使用して対応しますので、ご相談ください</t>
    <rPh sb="3" eb="4">
      <t>ナカ</t>
    </rPh>
    <rPh sb="5" eb="7">
      <t>タイオウ</t>
    </rPh>
    <rPh sb="13" eb="15">
      <t>フクザツ</t>
    </rPh>
    <rPh sb="22" eb="24">
      <t>キボウ</t>
    </rPh>
    <rPh sb="29" eb="31">
      <t>メイジン</t>
    </rPh>
    <rPh sb="32" eb="34">
      <t>シヨウ</t>
    </rPh>
    <rPh sb="36" eb="38">
      <t>タイオウ</t>
    </rPh>
    <rPh sb="45" eb="47">
      <t>ソウダン</t>
    </rPh>
    <phoneticPr fontId="4"/>
  </si>
  <si>
    <t>①遺族基礎年金</t>
    <rPh sb="1" eb="3">
      <t>イゾク</t>
    </rPh>
    <rPh sb="3" eb="7">
      <t>キソネンキン</t>
    </rPh>
    <phoneticPr fontId="4"/>
  </si>
  <si>
    <t>亡くなられた方の・・・</t>
    <rPh sb="0" eb="1">
      <t>ナ</t>
    </rPh>
    <rPh sb="6" eb="7">
      <t>カタ</t>
    </rPh>
    <phoneticPr fontId="4"/>
  </si>
  <si>
    <t>子</t>
    <rPh sb="0" eb="1">
      <t>コ</t>
    </rPh>
    <phoneticPr fontId="4"/>
  </si>
  <si>
    <t>遺族基礎年金</t>
    <rPh sb="0" eb="2">
      <t>イゾク</t>
    </rPh>
    <rPh sb="2" eb="4">
      <t>キソ</t>
    </rPh>
    <rPh sb="4" eb="6">
      <t>ネンキン</t>
    </rPh>
    <phoneticPr fontId="4"/>
  </si>
  <si>
    <t>子の加算</t>
    <rPh sb="0" eb="1">
      <t>コ</t>
    </rPh>
    <rPh sb="2" eb="4">
      <t>カサン</t>
    </rPh>
    <phoneticPr fontId="4"/>
  </si>
  <si>
    <t>支給合計</t>
    <rPh sb="0" eb="2">
      <t>シキュウ</t>
    </rPh>
    <rPh sb="2" eb="4">
      <t>ゴウケイ</t>
    </rPh>
    <phoneticPr fontId="4"/>
  </si>
  <si>
    <t>受給総額</t>
    <rPh sb="0" eb="2">
      <t>ジュキュウ</t>
    </rPh>
    <rPh sb="2" eb="4">
      <t>ソウガク</t>
    </rPh>
    <phoneticPr fontId="4"/>
  </si>
  <si>
    <t>妻ですか？</t>
    <rPh sb="0" eb="1">
      <t>ツマ</t>
    </rPh>
    <phoneticPr fontId="4"/>
  </si>
  <si>
    <t>はい</t>
  </si>
  <si>
    <t>夫ですか？</t>
    <rPh sb="0" eb="1">
      <t>オット</t>
    </rPh>
    <phoneticPr fontId="4"/>
  </si>
  <si>
    <t>子供の有無</t>
    <rPh sb="0" eb="2">
      <t>コドモ</t>
    </rPh>
    <rPh sb="3" eb="5">
      <t>ウム</t>
    </rPh>
    <phoneticPr fontId="4"/>
  </si>
  <si>
    <t>障害
該当</t>
    <rPh sb="0" eb="2">
      <t>ショウガイ</t>
    </rPh>
    <rPh sb="3" eb="5">
      <t>ガイトウ</t>
    </rPh>
    <phoneticPr fontId="4"/>
  </si>
  <si>
    <t>年齢</t>
    <rPh sb="0" eb="2">
      <t>ネンレイ</t>
    </rPh>
    <phoneticPr fontId="4"/>
  </si>
  <si>
    <r>
      <t>18歳到達</t>
    </r>
    <r>
      <rPr>
        <sz val="9"/>
        <color theme="1"/>
        <rFont val="Meiryo UI"/>
        <family val="3"/>
        <charset val="128"/>
      </rPr>
      <t>までの</t>
    </r>
    <r>
      <rPr>
        <sz val="11"/>
        <color theme="1"/>
        <rFont val="Meiryo UI"/>
        <family val="3"/>
        <charset val="128"/>
      </rPr>
      <t>年数</t>
    </r>
    <r>
      <rPr>
        <b/>
        <sz val="9"/>
        <color theme="5"/>
        <rFont val="Meiryo UI"/>
        <family val="3"/>
        <charset val="128"/>
      </rPr>
      <t>※1</t>
    </r>
    <rPh sb="2" eb="3">
      <t>サイ</t>
    </rPh>
    <rPh sb="3" eb="5">
      <t>トウタツ</t>
    </rPh>
    <rPh sb="8" eb="10">
      <t>ネンスウ</t>
    </rPh>
    <phoneticPr fontId="4"/>
  </si>
  <si>
    <t>1人目</t>
    <rPh sb="0" eb="3">
      <t>ヒトリメ</t>
    </rPh>
    <phoneticPr fontId="4"/>
  </si>
  <si>
    <t>有</t>
  </si>
  <si>
    <t>2人目</t>
    <rPh sb="0" eb="3">
      <t>フタリメ</t>
    </rPh>
    <phoneticPr fontId="4"/>
  </si>
  <si>
    <t>無</t>
  </si>
  <si>
    <t>3人目</t>
    <rPh sb="1" eb="3">
      <t>ニンメ</t>
    </rPh>
    <phoneticPr fontId="4"/>
  </si>
  <si>
    <t>※1 障がい者は、障害等級1.2級該当すれば満20歳まで</t>
    <rPh sb="3" eb="4">
      <t>ショウ</t>
    </rPh>
    <rPh sb="6" eb="7">
      <t>シャ</t>
    </rPh>
    <rPh sb="9" eb="11">
      <t>ショウガイ</t>
    </rPh>
    <rPh sb="11" eb="13">
      <t>トウキュウ</t>
    </rPh>
    <rPh sb="16" eb="17">
      <t>キュウ</t>
    </rPh>
    <rPh sb="17" eb="19">
      <t>ガイトウ</t>
    </rPh>
    <rPh sb="22" eb="23">
      <t>マン</t>
    </rPh>
    <rPh sb="25" eb="26">
      <t>サイ</t>
    </rPh>
    <phoneticPr fontId="4"/>
  </si>
  <si>
    <t>②遺族厚生年金</t>
    <rPh sb="1" eb="3">
      <t>イゾク</t>
    </rPh>
    <rPh sb="3" eb="7">
      <t>コウセイネンキン</t>
    </rPh>
    <phoneticPr fontId="4"/>
  </si>
  <si>
    <t>死亡した人の手取月収</t>
    <rPh sb="0" eb="2">
      <t>シボウ</t>
    </rPh>
    <rPh sb="4" eb="5">
      <t>ヒト</t>
    </rPh>
    <rPh sb="6" eb="8">
      <t>テド</t>
    </rPh>
    <rPh sb="8" eb="10">
      <t>ゲッシュウ</t>
    </rPh>
    <phoneticPr fontId="4"/>
  </si>
  <si>
    <t>死亡当時
の満年齢</t>
    <rPh sb="0" eb="4">
      <t>シボウトウジ</t>
    </rPh>
    <rPh sb="6" eb="7">
      <t>マン</t>
    </rPh>
    <rPh sb="7" eb="9">
      <t>ネンレイ</t>
    </rPh>
    <phoneticPr fontId="4"/>
  </si>
  <si>
    <t>女性87歳男性81歳or18歳到達までの年数</t>
    <rPh sb="0" eb="2">
      <t>ジョセイ</t>
    </rPh>
    <rPh sb="4" eb="5">
      <t>サイ</t>
    </rPh>
    <rPh sb="5" eb="7">
      <t>ダンセイ</t>
    </rPh>
    <rPh sb="9" eb="10">
      <t>サイ</t>
    </rPh>
    <rPh sb="14" eb="15">
      <t>サイ</t>
    </rPh>
    <rPh sb="15" eb="17">
      <t>トウタツ</t>
    </rPh>
    <rPh sb="20" eb="22">
      <t>ネンスウ</t>
    </rPh>
    <phoneticPr fontId="4"/>
  </si>
  <si>
    <t>遺族厚生年金
65歳まで</t>
    <rPh sb="0" eb="2">
      <t>イゾク</t>
    </rPh>
    <rPh sb="2" eb="4">
      <t>コウセイ</t>
    </rPh>
    <rPh sb="4" eb="6">
      <t>ネンキン</t>
    </rPh>
    <rPh sb="9" eb="10">
      <t>サイ</t>
    </rPh>
    <phoneticPr fontId="4"/>
  </si>
  <si>
    <t>遺族厚生年金
65歳～</t>
    <rPh sb="0" eb="2">
      <t>イゾク</t>
    </rPh>
    <rPh sb="2" eb="4">
      <t>コウセイ</t>
    </rPh>
    <rPh sb="4" eb="6">
      <t>ネンキン</t>
    </rPh>
    <rPh sb="9" eb="10">
      <t>サイ</t>
    </rPh>
    <phoneticPr fontId="4"/>
  </si>
  <si>
    <t>調整後受給総額</t>
    <rPh sb="0" eb="2">
      <t>チョウセイ</t>
    </rPh>
    <rPh sb="2" eb="3">
      <t>ゴ</t>
    </rPh>
    <rPh sb="3" eb="5">
      <t>ジュキュウ</t>
    </rPh>
    <rPh sb="5" eb="7">
      <t>ソウガク</t>
    </rPh>
    <phoneticPr fontId="4"/>
  </si>
  <si>
    <t>子ですか？</t>
    <rPh sb="0" eb="1">
      <t>コ</t>
    </rPh>
    <phoneticPr fontId="4"/>
  </si>
  <si>
    <t>いいえ</t>
  </si>
  <si>
    <r>
      <t>※2 支給順位　子のある妻＞子のある55歳以上の夫＞子＞子のない配偶者</t>
    </r>
    <r>
      <rPr>
        <sz val="10"/>
        <color theme="5"/>
        <rFont val="Meiryo UI"/>
        <family val="3"/>
        <charset val="128"/>
      </rPr>
      <t>（</t>
    </r>
    <r>
      <rPr>
        <b/>
        <sz val="9"/>
        <color theme="5"/>
        <rFont val="Meiryo UI"/>
        <family val="3"/>
        <charset val="128"/>
      </rPr>
      <t>子のない夫は55歳以上のときのみ60歳から受給可能）</t>
    </r>
    <rPh sb="3" eb="5">
      <t>シキュウ</t>
    </rPh>
    <rPh sb="5" eb="7">
      <t>ジュンイ</t>
    </rPh>
    <rPh sb="8" eb="9">
      <t>コ</t>
    </rPh>
    <rPh sb="12" eb="13">
      <t>ツマ</t>
    </rPh>
    <rPh sb="14" eb="15">
      <t>コ</t>
    </rPh>
    <rPh sb="20" eb="21">
      <t>サイ</t>
    </rPh>
    <rPh sb="21" eb="23">
      <t>イジョウ</t>
    </rPh>
    <rPh sb="24" eb="25">
      <t>オット</t>
    </rPh>
    <rPh sb="26" eb="27">
      <t>コ</t>
    </rPh>
    <rPh sb="28" eb="29">
      <t>コ</t>
    </rPh>
    <rPh sb="32" eb="35">
      <t>ハイグウシャ</t>
    </rPh>
    <rPh sb="36" eb="37">
      <t>コ</t>
    </rPh>
    <rPh sb="40" eb="41">
      <t>オット</t>
    </rPh>
    <rPh sb="44" eb="45">
      <t>サイ</t>
    </rPh>
    <rPh sb="45" eb="47">
      <t>イジョウ</t>
    </rPh>
    <rPh sb="54" eb="55">
      <t>サイ</t>
    </rPh>
    <rPh sb="57" eb="59">
      <t>ジュキュウ</t>
    </rPh>
    <rPh sb="59" eb="61">
      <t>カノウ</t>
    </rPh>
    <phoneticPr fontId="4"/>
  </si>
  <si>
    <t>※妻は、夫死亡時に30歳未満のときで子が無いときは「５年の有期年金」となることがあります</t>
    <rPh sb="1" eb="2">
      <t>ツマ</t>
    </rPh>
    <rPh sb="4" eb="5">
      <t>オット</t>
    </rPh>
    <rPh sb="5" eb="7">
      <t>シボウ</t>
    </rPh>
    <rPh sb="11" eb="14">
      <t>サイミマン</t>
    </rPh>
    <rPh sb="18" eb="19">
      <t>コ</t>
    </rPh>
    <rPh sb="20" eb="21">
      <t>ナ</t>
    </rPh>
    <rPh sb="27" eb="28">
      <t>ネン</t>
    </rPh>
    <rPh sb="29" eb="31">
      <t>ユウキ</t>
    </rPh>
    <rPh sb="31" eb="33">
      <t>ネンキン</t>
    </rPh>
    <phoneticPr fontId="4"/>
  </si>
  <si>
    <t>※遺族基礎年金を受け取れる夫（子どものいる夫）で妻の死亡時に55歳以上の場合は、60歳までの支給停止は行われず、60歳前でも遺族厚生年金を受け取れる</t>
    <rPh sb="1" eb="3">
      <t>イゾク</t>
    </rPh>
    <rPh sb="3" eb="5">
      <t>キソ</t>
    </rPh>
    <rPh sb="5" eb="7">
      <t>ネンキン</t>
    </rPh>
    <rPh sb="8" eb="9">
      <t>ウ</t>
    </rPh>
    <rPh sb="10" eb="11">
      <t>ト</t>
    </rPh>
    <rPh sb="13" eb="14">
      <t>オット</t>
    </rPh>
    <rPh sb="15" eb="16">
      <t>コ</t>
    </rPh>
    <rPh sb="21" eb="22">
      <t>オット</t>
    </rPh>
    <rPh sb="24" eb="25">
      <t>ツマ</t>
    </rPh>
    <rPh sb="26" eb="29">
      <t>シボウジ</t>
    </rPh>
    <rPh sb="32" eb="35">
      <t>サイイジョウ</t>
    </rPh>
    <rPh sb="36" eb="38">
      <t>バアイ</t>
    </rPh>
    <rPh sb="42" eb="43">
      <t>サイ</t>
    </rPh>
    <rPh sb="46" eb="48">
      <t>シキュウ</t>
    </rPh>
    <rPh sb="48" eb="50">
      <t>テイシ</t>
    </rPh>
    <rPh sb="51" eb="52">
      <t>オコナ</t>
    </rPh>
    <rPh sb="58" eb="59">
      <t>サイ</t>
    </rPh>
    <rPh sb="59" eb="60">
      <t>マエ</t>
    </rPh>
    <rPh sb="62" eb="64">
      <t>イゾク</t>
    </rPh>
    <rPh sb="64" eb="66">
      <t>コウセイ</t>
    </rPh>
    <rPh sb="66" eb="68">
      <t>ネンキン</t>
    </rPh>
    <rPh sb="69" eb="70">
      <t>ウ</t>
    </rPh>
    <rPh sb="71" eb="72">
      <t>ト</t>
    </rPh>
    <phoneticPr fontId="4"/>
  </si>
  <si>
    <t>※③で算出された自身の老齢厚生年金が受給されるときは、老齢厚生年金が優先支給となり　その額まで遺族厚生年金は支給停止となり調整されます</t>
    <rPh sb="3" eb="5">
      <t>サンシュツ</t>
    </rPh>
    <rPh sb="8" eb="10">
      <t>ジシン</t>
    </rPh>
    <rPh sb="11" eb="13">
      <t>ロウレイ</t>
    </rPh>
    <rPh sb="13" eb="15">
      <t>コウセイ</t>
    </rPh>
    <rPh sb="15" eb="17">
      <t>ネンキン</t>
    </rPh>
    <rPh sb="18" eb="20">
      <t>ジュキュウ</t>
    </rPh>
    <rPh sb="27" eb="29">
      <t>ロウレイ</t>
    </rPh>
    <rPh sb="29" eb="31">
      <t>コウセイ</t>
    </rPh>
    <rPh sb="31" eb="33">
      <t>ネンキン</t>
    </rPh>
    <rPh sb="34" eb="36">
      <t>ユウセン</t>
    </rPh>
    <rPh sb="36" eb="38">
      <t>シキュウ</t>
    </rPh>
    <rPh sb="44" eb="45">
      <t>ガク</t>
    </rPh>
    <rPh sb="47" eb="49">
      <t>イゾク</t>
    </rPh>
    <rPh sb="49" eb="51">
      <t>コウセイ</t>
    </rPh>
    <rPh sb="51" eb="53">
      <t>ネンキン</t>
    </rPh>
    <rPh sb="54" eb="56">
      <t>シキュウ</t>
    </rPh>
    <rPh sb="56" eb="58">
      <t>テイシ</t>
    </rPh>
    <rPh sb="61" eb="63">
      <t>チョウセイ</t>
    </rPh>
    <phoneticPr fontId="4"/>
  </si>
  <si>
    <t>③残された妻or夫　ご自身の老後の年金</t>
    <rPh sb="1" eb="2">
      <t>ノコ</t>
    </rPh>
    <rPh sb="5" eb="6">
      <t>ツマ</t>
    </rPh>
    <rPh sb="8" eb="9">
      <t>オット</t>
    </rPh>
    <rPh sb="11" eb="13">
      <t>ジシン</t>
    </rPh>
    <rPh sb="14" eb="16">
      <t>ロウゴ</t>
    </rPh>
    <rPh sb="17" eb="19">
      <t>ネンキン</t>
    </rPh>
    <phoneticPr fontId="4"/>
  </si>
  <si>
    <t>ご自身は？</t>
    <rPh sb="1" eb="3">
      <t>ジシン</t>
    </rPh>
    <phoneticPr fontId="4"/>
  </si>
  <si>
    <t>納付済+免除月数
※厚年:加入月数</t>
    <rPh sb="0" eb="2">
      <t>ノウフ</t>
    </rPh>
    <rPh sb="2" eb="3">
      <t>スミ</t>
    </rPh>
    <rPh sb="4" eb="6">
      <t>メンジョ</t>
    </rPh>
    <rPh sb="6" eb="7">
      <t>ツキ</t>
    </rPh>
    <rPh sb="7" eb="8">
      <t>カズ</t>
    </rPh>
    <rPh sb="10" eb="11">
      <t>コウ</t>
    </rPh>
    <rPh sb="11" eb="12">
      <t>ネン</t>
    </rPh>
    <rPh sb="13" eb="15">
      <t>カニュウ</t>
    </rPh>
    <rPh sb="15" eb="17">
      <t>ゲッスウ</t>
    </rPh>
    <phoneticPr fontId="4"/>
  </si>
  <si>
    <t>平均月収</t>
    <rPh sb="0" eb="2">
      <t>ヘイキン</t>
    </rPh>
    <rPh sb="2" eb="4">
      <t>ゲッシュウ</t>
    </rPh>
    <phoneticPr fontId="4"/>
  </si>
  <si>
    <t>平均年間賞与</t>
    <rPh sb="0" eb="2">
      <t>ヘイキン</t>
    </rPh>
    <rPh sb="2" eb="4">
      <t>ネンカン</t>
    </rPh>
    <rPh sb="4" eb="6">
      <t>ショウヨ</t>
    </rPh>
    <phoneticPr fontId="4"/>
  </si>
  <si>
    <t>老齢基礎年金</t>
    <rPh sb="0" eb="2">
      <t>ロウレイ</t>
    </rPh>
    <rPh sb="2" eb="4">
      <t>キソ</t>
    </rPh>
    <rPh sb="4" eb="6">
      <t>ネンキン</t>
    </rPh>
    <phoneticPr fontId="4"/>
  </si>
  <si>
    <t>老齢厚生年金</t>
    <rPh sb="0" eb="2">
      <t>ロウレイ</t>
    </rPh>
    <rPh sb="2" eb="4">
      <t>コウセイ</t>
    </rPh>
    <rPh sb="4" eb="6">
      <t>ネンキン</t>
    </rPh>
    <phoneticPr fontId="4"/>
  </si>
  <si>
    <t>国民年金加入</t>
    <rPh sb="0" eb="2">
      <t>コクミン</t>
    </rPh>
    <rPh sb="2" eb="4">
      <t>ネンキン</t>
    </rPh>
    <rPh sb="4" eb="6">
      <t>カニュウ</t>
    </rPh>
    <phoneticPr fontId="4"/>
  </si>
  <si>
    <t>厚生年金加入</t>
    <rPh sb="0" eb="2">
      <t>コウセイ</t>
    </rPh>
    <rPh sb="2" eb="4">
      <t>ネンキン</t>
    </rPh>
    <rPh sb="4" eb="6">
      <t>カニュウ</t>
    </rPh>
    <phoneticPr fontId="4"/>
  </si>
  <si>
    <t>～2003年3月</t>
    <rPh sb="5" eb="6">
      <t>ネン</t>
    </rPh>
    <rPh sb="7" eb="8">
      <t>ツキ</t>
    </rPh>
    <phoneticPr fontId="4"/>
  </si>
  <si>
    <t>2003年4月～</t>
    <rPh sb="4" eb="5">
      <t>ネン</t>
    </rPh>
    <rPh sb="6" eb="7">
      <t>ツキ</t>
    </rPh>
    <phoneticPr fontId="4"/>
  </si>
  <si>
    <t>④会社員の妻の中高齢寡婦加算</t>
    <rPh sb="1" eb="4">
      <t>カイシャイン</t>
    </rPh>
    <rPh sb="5" eb="6">
      <t>ツマ</t>
    </rPh>
    <rPh sb="7" eb="10">
      <t>チュウコウレイ</t>
    </rPh>
    <rPh sb="10" eb="12">
      <t>カフ</t>
    </rPh>
    <rPh sb="12" eb="14">
      <t>カサン</t>
    </rPh>
    <phoneticPr fontId="4"/>
  </si>
  <si>
    <t>亡くなった夫について</t>
    <rPh sb="0" eb="1">
      <t>ナ</t>
    </rPh>
    <rPh sb="5" eb="6">
      <t>オット</t>
    </rPh>
    <phoneticPr fontId="4"/>
  </si>
  <si>
    <t>中高齢寡婦加算</t>
    <rPh sb="0" eb="3">
      <t>チュウコウレイ</t>
    </rPh>
    <rPh sb="3" eb="5">
      <t>カフ</t>
    </rPh>
    <rPh sb="5" eb="7">
      <t>カサン</t>
    </rPh>
    <phoneticPr fontId="4"/>
  </si>
  <si>
    <t>　厚生年金加入期間20年以上ありますか？</t>
    <rPh sb="1" eb="3">
      <t>コウセイ</t>
    </rPh>
    <rPh sb="3" eb="5">
      <t>ネンキン</t>
    </rPh>
    <rPh sb="5" eb="7">
      <t>カニュウ</t>
    </rPh>
    <rPh sb="7" eb="9">
      <t>キカン</t>
    </rPh>
    <rPh sb="11" eb="12">
      <t>ネン</t>
    </rPh>
    <rPh sb="12" eb="14">
      <t>イジョウ</t>
    </rPh>
    <phoneticPr fontId="4"/>
  </si>
  <si>
    <t>はい</t>
    <phoneticPr fontId="4"/>
  </si>
  <si>
    <t>妻について</t>
    <rPh sb="0" eb="1">
      <t>ツマ</t>
    </rPh>
    <phoneticPr fontId="4"/>
  </si>
  <si>
    <t>　死亡当時、40歳以上65歳未満ですか？</t>
    <rPh sb="1" eb="3">
      <t>シボウ</t>
    </rPh>
    <rPh sb="3" eb="5">
      <t>トウジ</t>
    </rPh>
    <rPh sb="8" eb="9">
      <t>サイ</t>
    </rPh>
    <rPh sb="9" eb="11">
      <t>イジョウ</t>
    </rPh>
    <rPh sb="13" eb="14">
      <t>サイ</t>
    </rPh>
    <rPh sb="14" eb="16">
      <t>ミマン</t>
    </rPh>
    <phoneticPr fontId="4"/>
  </si>
  <si>
    <t>　死亡当時、遺族基礎年金を受給していましたか？</t>
    <rPh sb="1" eb="3">
      <t>シボウ</t>
    </rPh>
    <rPh sb="3" eb="5">
      <t>トウジ</t>
    </rPh>
    <rPh sb="6" eb="8">
      <t>イゾク</t>
    </rPh>
    <rPh sb="8" eb="11">
      <t>キソネン</t>
    </rPh>
    <rPh sb="11" eb="12">
      <t>キン</t>
    </rPh>
    <rPh sb="13" eb="15">
      <t>ジュキュウ</t>
    </rPh>
    <phoneticPr fontId="4"/>
  </si>
  <si>
    <t>　末子が18歳到達後　妻65歳までの年数</t>
    <rPh sb="1" eb="3">
      <t>マッシ</t>
    </rPh>
    <rPh sb="6" eb="7">
      <t>サイ</t>
    </rPh>
    <rPh sb="7" eb="9">
      <t>トウタツ</t>
    </rPh>
    <rPh sb="9" eb="10">
      <t>ゴ</t>
    </rPh>
    <rPh sb="11" eb="12">
      <t>ツマ</t>
    </rPh>
    <rPh sb="14" eb="15">
      <t>サイ</t>
    </rPh>
    <rPh sb="18" eb="20">
      <t>ネンスウ</t>
    </rPh>
    <phoneticPr fontId="4"/>
  </si>
  <si>
    <t>⑤会社からの保障</t>
    <rPh sb="1" eb="3">
      <t>カイシャ</t>
    </rPh>
    <rPh sb="6" eb="8">
      <t>ホショウ</t>
    </rPh>
    <phoneticPr fontId="4"/>
  </si>
  <si>
    <t>会社等から支給額</t>
    <rPh sb="0" eb="2">
      <t>カイシャ</t>
    </rPh>
    <rPh sb="2" eb="3">
      <t>トウ</t>
    </rPh>
    <rPh sb="5" eb="7">
      <t>シキュウ</t>
    </rPh>
    <rPh sb="7" eb="8">
      <t>ガク</t>
    </rPh>
    <phoneticPr fontId="4"/>
  </si>
  <si>
    <t>死亡退職金・弔慰金等</t>
    <rPh sb="0" eb="2">
      <t>シボウ</t>
    </rPh>
    <rPh sb="2" eb="5">
      <t>タイショクキン</t>
    </rPh>
    <rPh sb="6" eb="9">
      <t>チョウイキン</t>
    </rPh>
    <rPh sb="9" eb="10">
      <t>トウ</t>
    </rPh>
    <phoneticPr fontId="4"/>
  </si>
  <si>
    <t>⑥妻の収入と我が家の資産</t>
    <rPh sb="1" eb="2">
      <t>ツマ</t>
    </rPh>
    <rPh sb="3" eb="5">
      <t>シュウニュウ</t>
    </rPh>
    <rPh sb="6" eb="7">
      <t>ワ</t>
    </rPh>
    <rPh sb="8" eb="9">
      <t>ヤ</t>
    </rPh>
    <rPh sb="10" eb="12">
      <t>シサン</t>
    </rPh>
    <phoneticPr fontId="4"/>
  </si>
  <si>
    <t>年収</t>
    <rPh sb="0" eb="2">
      <t>ネンシュウ</t>
    </rPh>
    <phoneticPr fontId="4"/>
  </si>
  <si>
    <t>予定勤務年数</t>
    <rPh sb="0" eb="2">
      <t>ヨテイ</t>
    </rPh>
    <rPh sb="2" eb="4">
      <t>キンム</t>
    </rPh>
    <rPh sb="4" eb="6">
      <t>ネンスウ</t>
    </rPh>
    <phoneticPr fontId="4"/>
  </si>
  <si>
    <t>総額</t>
    <rPh sb="0" eb="2">
      <t>ソウガク</t>
    </rPh>
    <phoneticPr fontId="4"/>
  </si>
  <si>
    <t>妻の予想生涯収入</t>
    <rPh sb="0" eb="1">
      <t>ツマ</t>
    </rPh>
    <rPh sb="2" eb="4">
      <t>ヨソウ</t>
    </rPh>
    <rPh sb="4" eb="6">
      <t>ショウガイ</t>
    </rPh>
    <rPh sb="6" eb="8">
      <t>シュウニュウ</t>
    </rPh>
    <phoneticPr fontId="4"/>
  </si>
  <si>
    <t>我が家の資産</t>
    <rPh sb="0" eb="1">
      <t>ワ</t>
    </rPh>
    <rPh sb="2" eb="3">
      <t>ヤ</t>
    </rPh>
    <rPh sb="4" eb="6">
      <t>シサン</t>
    </rPh>
    <phoneticPr fontId="4"/>
  </si>
  <si>
    <t>　教育費の預金額</t>
    <rPh sb="1" eb="4">
      <t>キョウイクヒ</t>
    </rPh>
    <rPh sb="5" eb="7">
      <t>ヨキン</t>
    </rPh>
    <rPh sb="7" eb="8">
      <t>ガク</t>
    </rPh>
    <phoneticPr fontId="4"/>
  </si>
  <si>
    <t>　上記除く預金・個人年金・株式等</t>
    <rPh sb="1" eb="3">
      <t>ジョウキ</t>
    </rPh>
    <rPh sb="3" eb="4">
      <t>ノゾ</t>
    </rPh>
    <rPh sb="5" eb="7">
      <t>ヨキン</t>
    </rPh>
    <rPh sb="8" eb="10">
      <t>コジン</t>
    </rPh>
    <rPh sb="10" eb="12">
      <t>ネンキン</t>
    </rPh>
    <rPh sb="13" eb="15">
      <t>カブシキ</t>
    </rPh>
    <rPh sb="15" eb="16">
      <t>トウ</t>
    </rPh>
    <phoneticPr fontId="4"/>
  </si>
  <si>
    <t>　学資保険の満期金額</t>
    <rPh sb="1" eb="5">
      <t>ガクシホケン</t>
    </rPh>
    <rPh sb="6" eb="8">
      <t>マンキ</t>
    </rPh>
    <rPh sb="8" eb="10">
      <t>キンガク</t>
    </rPh>
    <phoneticPr fontId="4"/>
  </si>
  <si>
    <t>　前夫等からの養育費・慰謝料</t>
    <rPh sb="1" eb="2">
      <t>マエ</t>
    </rPh>
    <rPh sb="2" eb="3">
      <t>オット</t>
    </rPh>
    <rPh sb="3" eb="4">
      <t>トウ</t>
    </rPh>
    <rPh sb="7" eb="9">
      <t>ヨウイク</t>
    </rPh>
    <rPh sb="9" eb="10">
      <t>ヒ</t>
    </rPh>
    <rPh sb="11" eb="14">
      <t>イシャリョウ</t>
    </rPh>
    <phoneticPr fontId="4"/>
  </si>
  <si>
    <t>一生分の収入の総額</t>
    <rPh sb="0" eb="3">
      <t>イッショウブン</t>
    </rPh>
    <rPh sb="4" eb="6">
      <t>シュウニュウ</t>
    </rPh>
    <rPh sb="7" eb="9">
      <t>ソウガク</t>
    </rPh>
    <phoneticPr fontId="4"/>
  </si>
  <si>
    <t>生活費の見直しを検討しましょう</t>
    <rPh sb="0" eb="3">
      <t>セイカツヒ</t>
    </rPh>
    <rPh sb="4" eb="6">
      <t>ミナオ</t>
    </rPh>
    <rPh sb="8" eb="10">
      <t>ケントウ</t>
    </rPh>
    <phoneticPr fontId="4"/>
  </si>
  <si>
    <t>項目</t>
    <rPh sb="0" eb="2">
      <t>コウモク</t>
    </rPh>
    <phoneticPr fontId="4"/>
  </si>
  <si>
    <t>見直し前</t>
    <rPh sb="0" eb="2">
      <t>ミナオ</t>
    </rPh>
    <rPh sb="3" eb="4">
      <t>マエ</t>
    </rPh>
    <phoneticPr fontId="4"/>
  </si>
  <si>
    <r>
      <t xml:space="preserve">見直し後
</t>
    </r>
    <r>
      <rPr>
        <b/>
        <sz val="12"/>
        <color rgb="FFFF0000"/>
        <rFont val="Meiryo UI"/>
        <family val="3"/>
        <charset val="128"/>
      </rPr>
      <t>20%減目標</t>
    </r>
    <rPh sb="0" eb="2">
      <t>ミナオ</t>
    </rPh>
    <rPh sb="3" eb="4">
      <t>ゴ</t>
    </rPh>
    <rPh sb="8" eb="9">
      <t>ゲン</t>
    </rPh>
    <rPh sb="9" eb="11">
      <t>モクヒョウ</t>
    </rPh>
    <phoneticPr fontId="4"/>
  </si>
  <si>
    <t>食費</t>
    <rPh sb="0" eb="2">
      <t>ショクヒ</t>
    </rPh>
    <phoneticPr fontId="4"/>
  </si>
  <si>
    <t>お菓子等含む</t>
    <rPh sb="1" eb="3">
      <t>カシ</t>
    </rPh>
    <rPh sb="3" eb="4">
      <t>トウ</t>
    </rPh>
    <rPh sb="4" eb="5">
      <t>フク</t>
    </rPh>
    <phoneticPr fontId="4"/>
  </si>
  <si>
    <t>電気</t>
    <rPh sb="0" eb="2">
      <t>デンキ</t>
    </rPh>
    <phoneticPr fontId="4"/>
  </si>
  <si>
    <t>ガス</t>
    <phoneticPr fontId="4"/>
  </si>
  <si>
    <t>水道</t>
    <rPh sb="0" eb="2">
      <t>スイドウ</t>
    </rPh>
    <phoneticPr fontId="4"/>
  </si>
  <si>
    <t>家事関連費</t>
    <rPh sb="0" eb="2">
      <t>カジ</t>
    </rPh>
    <rPh sb="2" eb="4">
      <t>カンレン</t>
    </rPh>
    <rPh sb="4" eb="5">
      <t>ヒ</t>
    </rPh>
    <phoneticPr fontId="4"/>
  </si>
  <si>
    <t>携帯電話代</t>
    <rPh sb="0" eb="4">
      <t>ケイタイデンワ</t>
    </rPh>
    <rPh sb="4" eb="5">
      <t>ダイ</t>
    </rPh>
    <phoneticPr fontId="4"/>
  </si>
  <si>
    <t>　上記除く通信費</t>
    <rPh sb="1" eb="3">
      <t>ジョウキ</t>
    </rPh>
    <rPh sb="3" eb="4">
      <t>ノゾ</t>
    </rPh>
    <rPh sb="5" eb="7">
      <t>ツウシン</t>
    </rPh>
    <rPh sb="7" eb="8">
      <t>ヒ</t>
    </rPh>
    <phoneticPr fontId="4"/>
  </si>
  <si>
    <t>固定電話・プロバイダ料</t>
    <rPh sb="0" eb="2">
      <t>コテイ</t>
    </rPh>
    <rPh sb="2" eb="4">
      <t>デンワ</t>
    </rPh>
    <rPh sb="10" eb="11">
      <t>リョウ</t>
    </rPh>
    <phoneticPr fontId="4"/>
  </si>
  <si>
    <t>自動車維持費</t>
    <rPh sb="0" eb="3">
      <t>ジドウシャ</t>
    </rPh>
    <rPh sb="3" eb="6">
      <t>イジヒ</t>
    </rPh>
    <phoneticPr fontId="4"/>
  </si>
  <si>
    <t>ガソリン・ローン・保険・ETC</t>
    <rPh sb="9" eb="11">
      <t>ホケン</t>
    </rPh>
    <phoneticPr fontId="4"/>
  </si>
  <si>
    <t>医療費</t>
    <rPh sb="0" eb="3">
      <t>イリョウヒ</t>
    </rPh>
    <phoneticPr fontId="4"/>
  </si>
  <si>
    <t>健康維持費</t>
    <rPh sb="0" eb="2">
      <t>ケンコウ</t>
    </rPh>
    <rPh sb="2" eb="4">
      <t>イジ</t>
    </rPh>
    <rPh sb="4" eb="5">
      <t>ヒ</t>
    </rPh>
    <phoneticPr fontId="4"/>
  </si>
  <si>
    <t>スポーツクラブ等</t>
    <rPh sb="7" eb="8">
      <t>トウ</t>
    </rPh>
    <phoneticPr fontId="4"/>
  </si>
  <si>
    <t>アパレル服飾代</t>
    <rPh sb="4" eb="6">
      <t>フクショク</t>
    </rPh>
    <rPh sb="6" eb="7">
      <t>ダイ</t>
    </rPh>
    <phoneticPr fontId="4"/>
  </si>
  <si>
    <t>スーツ・洋品・下着等</t>
    <rPh sb="4" eb="6">
      <t>ヨウヒン</t>
    </rPh>
    <rPh sb="7" eb="9">
      <t>シタギ</t>
    </rPh>
    <rPh sb="9" eb="10">
      <t>トウ</t>
    </rPh>
    <phoneticPr fontId="4"/>
  </si>
  <si>
    <t>交際費</t>
    <rPh sb="0" eb="3">
      <t>コウサイヒ</t>
    </rPh>
    <phoneticPr fontId="4"/>
  </si>
  <si>
    <t>電車・バス</t>
    <rPh sb="0" eb="2">
      <t>デンシャ</t>
    </rPh>
    <phoneticPr fontId="4"/>
  </si>
  <si>
    <t>通勤定期等</t>
    <rPh sb="0" eb="2">
      <t>ツウキン</t>
    </rPh>
    <rPh sb="2" eb="4">
      <t>テイキ</t>
    </rPh>
    <rPh sb="4" eb="5">
      <t>トウ</t>
    </rPh>
    <phoneticPr fontId="4"/>
  </si>
  <si>
    <t>教養娯楽費</t>
    <rPh sb="0" eb="2">
      <t>キョウヨウ</t>
    </rPh>
    <rPh sb="2" eb="4">
      <t>ゴラク</t>
    </rPh>
    <rPh sb="4" eb="5">
      <t>ヒ</t>
    </rPh>
    <phoneticPr fontId="4"/>
  </si>
  <si>
    <t>その他</t>
    <rPh sb="2" eb="3">
      <t>タ</t>
    </rPh>
    <phoneticPr fontId="4"/>
  </si>
  <si>
    <t>1か月の生活費の合計</t>
    <rPh sb="2" eb="3">
      <t>ツキ</t>
    </rPh>
    <rPh sb="4" eb="7">
      <t>セイカツヒ</t>
    </rPh>
    <rPh sb="8" eb="10">
      <t>ゴウケイ</t>
    </rPh>
    <phoneticPr fontId="4"/>
  </si>
  <si>
    <t>①残された家族の生活費・介護費</t>
    <rPh sb="1" eb="2">
      <t>ノコ</t>
    </rPh>
    <rPh sb="5" eb="7">
      <t>カゾク</t>
    </rPh>
    <rPh sb="8" eb="11">
      <t>セイカツヒ</t>
    </rPh>
    <rPh sb="12" eb="15">
      <t>カイゴヒ</t>
    </rPh>
    <phoneticPr fontId="4"/>
  </si>
  <si>
    <t>妻または夫の年齢</t>
    <rPh sb="0" eb="1">
      <t>ツマ</t>
    </rPh>
    <rPh sb="4" eb="5">
      <t>オット</t>
    </rPh>
    <rPh sb="6" eb="8">
      <t>ネンレイ</t>
    </rPh>
    <phoneticPr fontId="4"/>
  </si>
  <si>
    <t>末子の年齢</t>
    <rPh sb="0" eb="2">
      <t>マッシ</t>
    </rPh>
    <rPh sb="3" eb="5">
      <t>ネンレイ</t>
    </rPh>
    <phoneticPr fontId="4"/>
  </si>
  <si>
    <t>末子が22歳になるまで</t>
    <rPh sb="0" eb="2">
      <t>マッシ</t>
    </rPh>
    <rPh sb="5" eb="6">
      <t>サイ</t>
    </rPh>
    <phoneticPr fontId="4"/>
  </si>
  <si>
    <t>末子就職後妻65歳まで</t>
    <rPh sb="0" eb="2">
      <t>マッシ</t>
    </rPh>
    <rPh sb="2" eb="5">
      <t>シュウショクゴ</t>
    </rPh>
    <rPh sb="5" eb="6">
      <t>ツマ</t>
    </rPh>
    <rPh sb="8" eb="9">
      <t>サイ</t>
    </rPh>
    <phoneticPr fontId="4"/>
  </si>
  <si>
    <t>本人66歳～75歳</t>
    <rPh sb="0" eb="2">
      <t>ホンニン</t>
    </rPh>
    <rPh sb="4" eb="5">
      <t>サイ</t>
    </rPh>
    <rPh sb="8" eb="9">
      <t>サイ</t>
    </rPh>
    <phoneticPr fontId="4"/>
  </si>
  <si>
    <t>本人76歳～87歳</t>
    <rPh sb="0" eb="2">
      <t>ホンニン</t>
    </rPh>
    <rPh sb="4" eb="5">
      <t>サイ</t>
    </rPh>
    <rPh sb="8" eb="9">
      <t>サイ</t>
    </rPh>
    <phoneticPr fontId="4"/>
  </si>
  <si>
    <t>②子供の教育費を計算</t>
    <rPh sb="1" eb="3">
      <t>コドモ</t>
    </rPh>
    <rPh sb="4" eb="7">
      <t>キョウイクヒ</t>
    </rPh>
    <rPh sb="8" eb="10">
      <t>ケイサン</t>
    </rPh>
    <phoneticPr fontId="4"/>
  </si>
  <si>
    <t>学校</t>
    <rPh sb="0" eb="2">
      <t>ガッコウ</t>
    </rPh>
    <phoneticPr fontId="4"/>
  </si>
  <si>
    <t>国立/私立</t>
    <rPh sb="3" eb="5">
      <t>シリツ</t>
    </rPh>
    <phoneticPr fontId="4"/>
  </si>
  <si>
    <t>入学料</t>
    <rPh sb="0" eb="2">
      <t>ニュウガク</t>
    </rPh>
    <rPh sb="2" eb="3">
      <t>リョウ</t>
    </rPh>
    <phoneticPr fontId="4"/>
  </si>
  <si>
    <t>授業料/教育費</t>
    <rPh sb="0" eb="3">
      <t>ジュギョウリョウ</t>
    </rPh>
    <rPh sb="4" eb="7">
      <t>キョウイクヒ</t>
    </rPh>
    <phoneticPr fontId="4"/>
  </si>
  <si>
    <t>就学・修学年数</t>
    <rPh sb="0" eb="2">
      <t>シュウガク</t>
    </rPh>
    <rPh sb="3" eb="5">
      <t>シュウガク</t>
    </rPh>
    <rPh sb="5" eb="7">
      <t>ネンスウ</t>
    </rPh>
    <phoneticPr fontId="4"/>
  </si>
  <si>
    <t>計</t>
    <rPh sb="0" eb="1">
      <t>ケイ</t>
    </rPh>
    <phoneticPr fontId="4"/>
  </si>
  <si>
    <t>小学校入学前</t>
    <rPh sb="0" eb="3">
      <t>ショウガッコウ</t>
    </rPh>
    <rPh sb="3" eb="5">
      <t>ニュウガク</t>
    </rPh>
    <rPh sb="5" eb="6">
      <t>マエ</t>
    </rPh>
    <phoneticPr fontId="4"/>
  </si>
  <si>
    <t>公立</t>
    <rPh sb="0" eb="2">
      <t>コウリツ</t>
    </rPh>
    <phoneticPr fontId="4"/>
  </si>
  <si>
    <t>私立</t>
    <rPh sb="0" eb="2">
      <t>シリツ</t>
    </rPh>
    <phoneticPr fontId="4"/>
  </si>
  <si>
    <t>小学校</t>
    <rPh sb="0" eb="3">
      <t>ショウガッコウ</t>
    </rPh>
    <phoneticPr fontId="4"/>
  </si>
  <si>
    <t>公立</t>
  </si>
  <si>
    <t>中学校</t>
    <rPh sb="0" eb="3">
      <t>チュウガッコウ</t>
    </rPh>
    <phoneticPr fontId="4"/>
  </si>
  <si>
    <t>高等学校</t>
    <rPh sb="0" eb="4">
      <t>コウトウガッコウ</t>
    </rPh>
    <phoneticPr fontId="4"/>
  </si>
  <si>
    <t>大学</t>
    <rPh sb="0" eb="2">
      <t>ダイガク</t>
    </rPh>
    <phoneticPr fontId="4"/>
  </si>
  <si>
    <t>国立</t>
  </si>
  <si>
    <t>入学料</t>
    <rPh sb="0" eb="3">
      <t>ニュウガクリョウ</t>
    </rPh>
    <phoneticPr fontId="4"/>
  </si>
  <si>
    <t>授業料</t>
    <rPh sb="0" eb="3">
      <t>ジュギョウリョウ</t>
    </rPh>
    <phoneticPr fontId="4"/>
  </si>
  <si>
    <t>国立大学</t>
    <rPh sb="0" eb="2">
      <t>コクリツ</t>
    </rPh>
    <rPh sb="2" eb="4">
      <t>ダイガク</t>
    </rPh>
    <phoneticPr fontId="4"/>
  </si>
  <si>
    <t>私立大学文系</t>
    <rPh sb="0" eb="2">
      <t>シリツ</t>
    </rPh>
    <rPh sb="2" eb="4">
      <t>ダイガク</t>
    </rPh>
    <rPh sb="4" eb="6">
      <t>ブンケイ</t>
    </rPh>
    <phoneticPr fontId="4"/>
  </si>
  <si>
    <t>私立大学理系</t>
    <rPh sb="0" eb="2">
      <t>シリツ</t>
    </rPh>
    <rPh sb="2" eb="4">
      <t>ダイガク</t>
    </rPh>
    <rPh sb="4" eb="6">
      <t>リケイ</t>
    </rPh>
    <phoneticPr fontId="4"/>
  </si>
  <si>
    <t>※2019年10月から3歳～5歳児クラスの幼稚園・保育所・認定こども園頭の利用料は無償</t>
    <rPh sb="5" eb="6">
      <t>ネン</t>
    </rPh>
    <rPh sb="8" eb="9">
      <t>ツキ</t>
    </rPh>
    <rPh sb="12" eb="13">
      <t>サイ</t>
    </rPh>
    <rPh sb="15" eb="16">
      <t>サイ</t>
    </rPh>
    <rPh sb="21" eb="24">
      <t>ヨウチエン</t>
    </rPh>
    <rPh sb="25" eb="27">
      <t>ホイク</t>
    </rPh>
    <rPh sb="27" eb="28">
      <t>ジョ</t>
    </rPh>
    <rPh sb="29" eb="31">
      <t>ニンテイ</t>
    </rPh>
    <rPh sb="34" eb="35">
      <t>エン</t>
    </rPh>
    <rPh sb="35" eb="36">
      <t>アタマ</t>
    </rPh>
    <rPh sb="37" eb="40">
      <t>リヨウリョウ</t>
    </rPh>
    <rPh sb="41" eb="43">
      <t>ムショウ</t>
    </rPh>
    <phoneticPr fontId="4"/>
  </si>
  <si>
    <t>私立大学医系</t>
    <rPh sb="0" eb="2">
      <t>シリツ</t>
    </rPh>
    <rPh sb="2" eb="4">
      <t>ダイガク</t>
    </rPh>
    <rPh sb="4" eb="5">
      <t>イ</t>
    </rPh>
    <rPh sb="5" eb="6">
      <t>ケイ</t>
    </rPh>
    <phoneticPr fontId="4"/>
  </si>
  <si>
    <t>※2014年度から「高等学校等就学支援金制度」を行なっており、公立高等学校はこの制度で実質無償化されました</t>
    <phoneticPr fontId="4"/>
  </si>
  <si>
    <t>専門学校等</t>
    <rPh sb="0" eb="4">
      <t>センモンガッコウ</t>
    </rPh>
    <rPh sb="4" eb="5">
      <t>トウ</t>
    </rPh>
    <phoneticPr fontId="4"/>
  </si>
  <si>
    <t>※2020年4月からは無償化の範囲が拡大され、私立高校についても要件を満たせば無償で通えるようになっています</t>
    <phoneticPr fontId="4"/>
  </si>
  <si>
    <t>国立大学院</t>
    <rPh sb="0" eb="2">
      <t>コクリツ</t>
    </rPh>
    <rPh sb="2" eb="5">
      <t>ダイガクイン</t>
    </rPh>
    <phoneticPr fontId="4"/>
  </si>
  <si>
    <t>※小学校～高校は、給食費・塾・部活動費を含みます</t>
    <rPh sb="1" eb="4">
      <t>ショウガッコウ</t>
    </rPh>
    <rPh sb="5" eb="7">
      <t>コウコウ</t>
    </rPh>
    <rPh sb="9" eb="12">
      <t>キュウショクヒ</t>
    </rPh>
    <rPh sb="13" eb="14">
      <t>ジュク</t>
    </rPh>
    <rPh sb="15" eb="18">
      <t>ブカツドウ</t>
    </rPh>
    <rPh sb="18" eb="19">
      <t>ヒ</t>
    </rPh>
    <rPh sb="20" eb="21">
      <t>フク</t>
    </rPh>
    <phoneticPr fontId="4"/>
  </si>
  <si>
    <t>私立大学院</t>
    <rPh sb="0" eb="2">
      <t>シリツ</t>
    </rPh>
    <rPh sb="2" eb="5">
      <t>ダイガクイン</t>
    </rPh>
    <phoneticPr fontId="4"/>
  </si>
  <si>
    <t>※大学は、入学検定料・通学費・住宅費・生活費を含みません</t>
    <rPh sb="1" eb="3">
      <t>ダイガク</t>
    </rPh>
    <rPh sb="5" eb="7">
      <t>ニュウガク</t>
    </rPh>
    <rPh sb="7" eb="10">
      <t>ケンテイリョウ</t>
    </rPh>
    <rPh sb="11" eb="13">
      <t>ツウガク</t>
    </rPh>
    <rPh sb="13" eb="14">
      <t>ヒ</t>
    </rPh>
    <rPh sb="15" eb="18">
      <t>ジュウタクヒ</t>
    </rPh>
    <rPh sb="19" eb="21">
      <t>セイカツ</t>
    </rPh>
    <rPh sb="21" eb="22">
      <t>ヒ</t>
    </rPh>
    <rPh sb="23" eb="24">
      <t>フク</t>
    </rPh>
    <phoneticPr fontId="4"/>
  </si>
  <si>
    <t>ご不明な場合、小中学校は公立・高校は私立、大学は私立理系で試算をおススメします</t>
    <rPh sb="1" eb="3">
      <t>フメイ</t>
    </rPh>
    <rPh sb="4" eb="6">
      <t>バアイ</t>
    </rPh>
    <rPh sb="7" eb="11">
      <t>ショウチュウガッコウ</t>
    </rPh>
    <rPh sb="12" eb="14">
      <t>コウリツ</t>
    </rPh>
    <rPh sb="15" eb="17">
      <t>コウコウ</t>
    </rPh>
    <rPh sb="18" eb="20">
      <t>シリツ</t>
    </rPh>
    <rPh sb="21" eb="23">
      <t>ダイガク</t>
    </rPh>
    <rPh sb="24" eb="26">
      <t>シリツ</t>
    </rPh>
    <rPh sb="26" eb="28">
      <t>リケイ</t>
    </rPh>
    <rPh sb="29" eb="31">
      <t>シサン</t>
    </rPh>
    <phoneticPr fontId="4"/>
  </si>
  <si>
    <t>③住宅関連の費用を計算</t>
    <rPh sb="1" eb="3">
      <t>ジュウタク</t>
    </rPh>
    <rPh sb="3" eb="5">
      <t>カンレン</t>
    </rPh>
    <rPh sb="6" eb="8">
      <t>ヒヨウ</t>
    </rPh>
    <rPh sb="9" eb="11">
      <t>ケイサン</t>
    </rPh>
    <phoneticPr fontId="4"/>
  </si>
  <si>
    <t>妻65歳～87歳</t>
    <rPh sb="0" eb="1">
      <t>ツマ</t>
    </rPh>
    <rPh sb="3" eb="4">
      <t>サイ</t>
    </rPh>
    <rPh sb="7" eb="8">
      <t>サイ</t>
    </rPh>
    <phoneticPr fontId="4"/>
  </si>
  <si>
    <t>年間家賃</t>
    <rPh sb="0" eb="2">
      <t>ネンカン</t>
    </rPh>
    <rPh sb="2" eb="4">
      <t>ヤチン</t>
    </rPh>
    <phoneticPr fontId="4"/>
  </si>
  <si>
    <t>　　　維持費</t>
    <rPh sb="3" eb="6">
      <t>イジヒ</t>
    </rPh>
    <phoneticPr fontId="4"/>
  </si>
  <si>
    <t>　　　固定資産税</t>
    <rPh sb="3" eb="7">
      <t>コテイシサン</t>
    </rPh>
    <rPh sb="7" eb="8">
      <t>ゼイ</t>
    </rPh>
    <phoneticPr fontId="4"/>
  </si>
  <si>
    <t>④葬儀に関する費用を計算</t>
    <rPh sb="1" eb="3">
      <t>ソウギ</t>
    </rPh>
    <rPh sb="4" eb="5">
      <t>カン</t>
    </rPh>
    <rPh sb="7" eb="9">
      <t>ヒヨウ</t>
    </rPh>
    <rPh sb="10" eb="12">
      <t>ケイサン</t>
    </rPh>
    <phoneticPr fontId="4"/>
  </si>
  <si>
    <t>全国平均</t>
    <rPh sb="0" eb="2">
      <t>ゼンコク</t>
    </rPh>
    <rPh sb="2" eb="4">
      <t>ヘイキン</t>
    </rPh>
    <phoneticPr fontId="4"/>
  </si>
  <si>
    <t>調整</t>
    <rPh sb="0" eb="2">
      <t>チョウセイ</t>
    </rPh>
    <phoneticPr fontId="4"/>
  </si>
  <si>
    <t>調整後</t>
    <rPh sb="0" eb="2">
      <t>チョウセイ</t>
    </rPh>
    <rPh sb="2" eb="3">
      <t>ゴ</t>
    </rPh>
    <phoneticPr fontId="4"/>
  </si>
  <si>
    <t>通夜</t>
    <rPh sb="0" eb="2">
      <t>ツヤ</t>
    </rPh>
    <phoneticPr fontId="4"/>
  </si>
  <si>
    <t>お布施</t>
    <rPh sb="1" eb="3">
      <t>フセ</t>
    </rPh>
    <phoneticPr fontId="4"/>
  </si>
  <si>
    <t>食事</t>
    <rPh sb="0" eb="2">
      <t>ショクジ</t>
    </rPh>
    <phoneticPr fontId="4"/>
  </si>
  <si>
    <t>お坊さんのお車代</t>
    <rPh sb="1" eb="2">
      <t>ボウ</t>
    </rPh>
    <rPh sb="6" eb="8">
      <t>クルマダイ</t>
    </rPh>
    <phoneticPr fontId="4"/>
  </si>
  <si>
    <t>火葬代</t>
    <rPh sb="0" eb="2">
      <t>カソウ</t>
    </rPh>
    <rPh sb="2" eb="3">
      <t>ダイ</t>
    </rPh>
    <phoneticPr fontId="4"/>
  </si>
  <si>
    <t>初七日</t>
    <rPh sb="0" eb="3">
      <t>ショナノカ</t>
    </rPh>
    <phoneticPr fontId="4"/>
  </si>
  <si>
    <t>お供え</t>
    <rPh sb="1" eb="2">
      <t>ソナ</t>
    </rPh>
    <phoneticPr fontId="4"/>
  </si>
  <si>
    <t>食事・菓子</t>
    <rPh sb="0" eb="2">
      <t>ショクジ</t>
    </rPh>
    <rPh sb="3" eb="5">
      <t>カシ</t>
    </rPh>
    <phoneticPr fontId="4"/>
  </si>
  <si>
    <t>葬儀</t>
    <rPh sb="0" eb="2">
      <t>ソウギ</t>
    </rPh>
    <phoneticPr fontId="4"/>
  </si>
  <si>
    <t>枕経</t>
    <rPh sb="0" eb="1">
      <t>マクラ</t>
    </rPh>
    <rPh sb="1" eb="2">
      <t>キョウ</t>
    </rPh>
    <phoneticPr fontId="4"/>
  </si>
  <si>
    <t>法名料</t>
    <rPh sb="0" eb="2">
      <t>ホウミョウ</t>
    </rPh>
    <rPh sb="2" eb="3">
      <t>リョウ</t>
    </rPh>
    <phoneticPr fontId="4"/>
  </si>
  <si>
    <t>葬儀一式</t>
    <rPh sb="0" eb="2">
      <t>ソウギ</t>
    </rPh>
    <rPh sb="2" eb="4">
      <t>イッシキ</t>
    </rPh>
    <phoneticPr fontId="4"/>
  </si>
  <si>
    <t>四十九日</t>
    <rPh sb="0" eb="4">
      <t>シジュウクニチ</t>
    </rPh>
    <phoneticPr fontId="4"/>
  </si>
  <si>
    <t>お供え菓子</t>
    <rPh sb="1" eb="2">
      <t>ソナ</t>
    </rPh>
    <rPh sb="3" eb="5">
      <t>カシ</t>
    </rPh>
    <phoneticPr fontId="4"/>
  </si>
  <si>
    <t>香典</t>
    <rPh sb="0" eb="2">
      <t>コウデン</t>
    </rPh>
    <phoneticPr fontId="4"/>
  </si>
  <si>
    <t>香典返し</t>
    <rPh sb="0" eb="2">
      <t>コウデン</t>
    </rPh>
    <rPh sb="2" eb="3">
      <t>カエ</t>
    </rPh>
    <phoneticPr fontId="4"/>
  </si>
  <si>
    <t>一生分の支出の総額</t>
    <rPh sb="0" eb="3">
      <t>イッショウブン</t>
    </rPh>
    <rPh sb="4" eb="6">
      <t>シシュツ</t>
    </rPh>
    <rPh sb="7" eb="9">
      <t>ソウガク</t>
    </rPh>
    <phoneticPr fontId="4"/>
  </si>
  <si>
    <t>マイナスのとき⇒保険・預金等で備えたい保障額</t>
    <rPh sb="8" eb="10">
      <t>ホケン</t>
    </rPh>
    <rPh sb="11" eb="13">
      <t>ヨキン</t>
    </rPh>
    <rPh sb="13" eb="14">
      <t>トウ</t>
    </rPh>
    <rPh sb="15" eb="16">
      <t>ソナ</t>
    </rPh>
    <rPh sb="19" eb="21">
      <t>ホショウ</t>
    </rPh>
    <rPh sb="21" eb="22">
      <t>ガク</t>
    </rPh>
    <phoneticPr fontId="4"/>
  </si>
  <si>
    <t>老後に本当に必要な金額はいくらなの？</t>
    <rPh sb="0" eb="2">
      <t>ロウゴ</t>
    </rPh>
    <rPh sb="3" eb="5">
      <t>ホントウ</t>
    </rPh>
    <rPh sb="6" eb="8">
      <t>ヒツヨウ</t>
    </rPh>
    <rPh sb="9" eb="11">
      <t>キンガク</t>
    </rPh>
    <phoneticPr fontId="4"/>
  </si>
  <si>
    <t>収入保障で必要な金額</t>
    <rPh sb="0" eb="4">
      <t>シュウニュウホショウ</t>
    </rPh>
    <rPh sb="5" eb="7">
      <t>ヒツヨウ</t>
    </rPh>
    <rPh sb="8" eb="10">
      <t>キンガク</t>
    </rPh>
    <phoneticPr fontId="4"/>
  </si>
  <si>
    <t>　　　　　　　　　　　　　　①遺族基礎年金</t>
    <rPh sb="15" eb="17">
      <t>イゾク</t>
    </rPh>
    <rPh sb="17" eb="21">
      <t>キソネンキン</t>
    </rPh>
    <phoneticPr fontId="4"/>
  </si>
  <si>
    <t>　　　　　　　　　　　　　　②遺族厚生年金※65歳or18歳まで</t>
    <rPh sb="15" eb="17">
      <t>イゾク</t>
    </rPh>
    <rPh sb="17" eb="21">
      <t>コウセイネンキン</t>
    </rPh>
    <rPh sb="24" eb="25">
      <t>サイ</t>
    </rPh>
    <rPh sb="29" eb="30">
      <t>サイ</t>
    </rPh>
    <phoneticPr fontId="4"/>
  </si>
  <si>
    <t>　　　　　　　　　　　　　　④会社員の妻の中高齢寡婦加算</t>
    <rPh sb="15" eb="18">
      <t>カイシャイン</t>
    </rPh>
    <rPh sb="19" eb="20">
      <t>ツマ</t>
    </rPh>
    <rPh sb="21" eb="24">
      <t>チュウコウレイ</t>
    </rPh>
    <rPh sb="24" eb="26">
      <t>カフ</t>
    </rPh>
    <rPh sb="26" eb="28">
      <t>カサン</t>
    </rPh>
    <phoneticPr fontId="4"/>
  </si>
  <si>
    <t>　　　　　　　　　　　　　　⑥妻の予想生涯収入</t>
    <phoneticPr fontId="4"/>
  </si>
  <si>
    <t>収入計</t>
    <rPh sb="0" eb="2">
      <t>シュウニュウ</t>
    </rPh>
    <rPh sb="2" eb="3">
      <t>ケイ</t>
    </rPh>
    <phoneticPr fontId="4"/>
  </si>
  <si>
    <t>a</t>
    <phoneticPr fontId="4"/>
  </si>
  <si>
    <t>①生活費の金額※６５歳まで</t>
    <rPh sb="1" eb="4">
      <t>セイカツヒ</t>
    </rPh>
    <rPh sb="5" eb="7">
      <t>キンガク</t>
    </rPh>
    <rPh sb="10" eb="11">
      <t>サイ</t>
    </rPh>
    <phoneticPr fontId="4"/>
  </si>
  <si>
    <t>③住宅関連の金額※６５歳まで</t>
    <rPh sb="1" eb="5">
      <t>ジュウタクカンレン</t>
    </rPh>
    <rPh sb="6" eb="8">
      <t>キンガク</t>
    </rPh>
    <rPh sb="11" eb="12">
      <t>サイ</t>
    </rPh>
    <phoneticPr fontId="4"/>
  </si>
  <si>
    <t>支出計</t>
    <rPh sb="0" eb="2">
      <t>シシュツ</t>
    </rPh>
    <rPh sb="2" eb="3">
      <t>ケイ</t>
    </rPh>
    <phoneticPr fontId="4"/>
  </si>
  <si>
    <t>b</t>
    <phoneticPr fontId="4"/>
  </si>
  <si>
    <t>差引：マイナスのとき⇒必要な保障額</t>
    <rPh sb="0" eb="1">
      <t>サ</t>
    </rPh>
    <rPh sb="1" eb="2">
      <t>ヒ</t>
    </rPh>
    <rPh sb="11" eb="13">
      <t>ヒツヨウ</t>
    </rPh>
    <rPh sb="14" eb="17">
      <t>ホショウガク</t>
    </rPh>
    <phoneticPr fontId="4"/>
  </si>
  <si>
    <t>a-b</t>
    <phoneticPr fontId="4"/>
  </si>
  <si>
    <t>65歳までの年数　</t>
    <rPh sb="2" eb="3">
      <t>サイ</t>
    </rPh>
    <rPh sb="6" eb="8">
      <t>ネンスウ</t>
    </rPh>
    <phoneticPr fontId="4"/>
  </si>
  <si>
    <t>c</t>
    <phoneticPr fontId="4"/>
  </si>
  <si>
    <t>1年に必要な保障額</t>
    <rPh sb="1" eb="2">
      <t>ネン</t>
    </rPh>
    <rPh sb="3" eb="5">
      <t>ヒツヨウ</t>
    </rPh>
    <rPh sb="6" eb="9">
      <t>ホショウガク</t>
    </rPh>
    <phoneticPr fontId="4"/>
  </si>
  <si>
    <t>(a-b)/c÷12</t>
    <phoneticPr fontId="4"/>
  </si>
  <si>
    <t>定期保険で必要な金額</t>
    <rPh sb="0" eb="2">
      <t>テイキ</t>
    </rPh>
    <rPh sb="2" eb="4">
      <t>ホケン</t>
    </rPh>
    <rPh sb="5" eb="7">
      <t>ヒツヨウ</t>
    </rPh>
    <rPh sb="8" eb="10">
      <t>キンガク</t>
    </rPh>
    <phoneticPr fontId="4"/>
  </si>
  <si>
    <t>　　　　　　　　　　　　　　　　　　　　　　　教育費の預金額</t>
    <rPh sb="23" eb="26">
      <t>キョウイクヒ</t>
    </rPh>
    <rPh sb="27" eb="29">
      <t>ヨキン</t>
    </rPh>
    <rPh sb="29" eb="30">
      <t>ガク</t>
    </rPh>
    <phoneticPr fontId="4"/>
  </si>
  <si>
    <t>　　　　　　　　　　　　　　　　　　　　　　　学資保険の満期金額</t>
    <rPh sb="23" eb="27">
      <t>ガクシホケン</t>
    </rPh>
    <rPh sb="28" eb="30">
      <t>マンキ</t>
    </rPh>
    <rPh sb="30" eb="32">
      <t>キンガク</t>
    </rPh>
    <phoneticPr fontId="4"/>
  </si>
  <si>
    <t>　　　　　　　　　　　　　　　　　　　　　　　前夫からの支援</t>
    <rPh sb="23" eb="24">
      <t>マエ</t>
    </rPh>
    <rPh sb="24" eb="25">
      <t>オット</t>
    </rPh>
    <rPh sb="28" eb="30">
      <t>シエン</t>
    </rPh>
    <phoneticPr fontId="4"/>
  </si>
  <si>
    <t>子供の教育費計</t>
    <rPh sb="0" eb="2">
      <t>コドモ</t>
    </rPh>
    <rPh sb="3" eb="5">
      <t>キョウイク</t>
    </rPh>
    <rPh sb="5" eb="6">
      <t>ヒ</t>
    </rPh>
    <rPh sb="6" eb="7">
      <t>ケイ</t>
    </rPh>
    <phoneticPr fontId="4"/>
  </si>
  <si>
    <t>差引：マイナスのとき⇒必要な保障額</t>
    <rPh sb="0" eb="2">
      <t>サシヒキ</t>
    </rPh>
    <rPh sb="11" eb="13">
      <t>ヒツヨウ</t>
    </rPh>
    <rPh sb="14" eb="17">
      <t>ホショウガク</t>
    </rPh>
    <phoneticPr fontId="4"/>
  </si>
  <si>
    <t>※子どもがいない・全員独立した場合は、不要</t>
    <rPh sb="1" eb="2">
      <t>コ</t>
    </rPh>
    <rPh sb="9" eb="11">
      <t>ゼンイン</t>
    </rPh>
    <rPh sb="11" eb="13">
      <t>ドクリツ</t>
    </rPh>
    <rPh sb="15" eb="17">
      <t>バアイ</t>
    </rPh>
    <rPh sb="19" eb="21">
      <t>フヨウ</t>
    </rPh>
    <phoneticPr fontId="4"/>
  </si>
  <si>
    <t>終身保険等で必要な金額</t>
    <rPh sb="0" eb="2">
      <t>シュウシン</t>
    </rPh>
    <rPh sb="2" eb="4">
      <t>ホケン</t>
    </rPh>
    <rPh sb="4" eb="5">
      <t>トウ</t>
    </rPh>
    <rPh sb="6" eb="8">
      <t>ヒツヨウ</t>
    </rPh>
    <rPh sb="9" eb="11">
      <t>キンガク</t>
    </rPh>
    <phoneticPr fontId="4"/>
  </si>
  <si>
    <t>　　　　　　　　　　　　　　　　　　預金・保険等で備たい保障額</t>
    <rPh sb="18" eb="20">
      <t>ヨキン</t>
    </rPh>
    <rPh sb="21" eb="23">
      <t>ホケン</t>
    </rPh>
    <rPh sb="23" eb="24">
      <t>トウ</t>
    </rPh>
    <rPh sb="25" eb="26">
      <t>ソナ</t>
    </rPh>
    <rPh sb="28" eb="31">
      <t>ホショウガク</t>
    </rPh>
    <phoneticPr fontId="4"/>
  </si>
  <si>
    <t>　　　　　　　　　　　　　　　　　　収入保障保険の必要保障総額</t>
    <rPh sb="18" eb="20">
      <t>シュウニュウ</t>
    </rPh>
    <rPh sb="20" eb="22">
      <t>ホショウ</t>
    </rPh>
    <rPh sb="22" eb="24">
      <t>ホケン</t>
    </rPh>
    <rPh sb="25" eb="27">
      <t>ヒツヨウ</t>
    </rPh>
    <rPh sb="27" eb="29">
      <t>ホショウ</t>
    </rPh>
    <rPh sb="29" eb="31">
      <t>ソウガク</t>
    </rPh>
    <phoneticPr fontId="4"/>
  </si>
  <si>
    <t>　　　　　　　　　　　　　　　　　　定期保険の必要保障総額</t>
    <rPh sb="18" eb="20">
      <t>テイキ</t>
    </rPh>
    <rPh sb="20" eb="22">
      <t>ホケン</t>
    </rPh>
    <rPh sb="23" eb="25">
      <t>ヒツヨウ</t>
    </rPh>
    <rPh sb="25" eb="27">
      <t>ホショウ</t>
    </rPh>
    <rPh sb="27" eb="29">
      <t>ソウガク</t>
    </rPh>
    <phoneticPr fontId="4"/>
  </si>
  <si>
    <t>必要な保障額</t>
    <rPh sb="0" eb="2">
      <t>ヒツヨウ</t>
    </rPh>
    <rPh sb="3" eb="6">
      <t>ホショウガク</t>
    </rPh>
    <phoneticPr fontId="4"/>
  </si>
  <si>
    <t>a-b-c</t>
    <phoneticPr fontId="4"/>
  </si>
  <si>
    <t>上記「必要な保障額」を預金等で賄えれば安心かと思います</t>
    <rPh sb="0" eb="2">
      <t>ジョウキ</t>
    </rPh>
    <rPh sb="3" eb="5">
      <t>ヒツヨウ</t>
    </rPh>
    <rPh sb="6" eb="9">
      <t>ホショウガク</t>
    </rPh>
    <rPh sb="11" eb="13">
      <t>ヨキン</t>
    </rPh>
    <rPh sb="13" eb="14">
      <t>トウ</t>
    </rPh>
    <rPh sb="15" eb="16">
      <t>マカナ</t>
    </rPh>
    <rPh sb="19" eb="21">
      <t>アンシン</t>
    </rPh>
    <rPh sb="23" eb="24">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</si>
</sst>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年&quot;"/>
    <numFmt numFmtId="177" formatCode="0&quot;回&quot;"/>
    <numFmt numFmtId="178" formatCode="\×0&quot;ケ月×&quot;"/>
    <numFmt numFmtId="179" formatCode="\×0&quot;年×&quot;"/>
    <numFmt numFmtId="180" formatCode="0&quot;歳&quot;"/>
    <numFmt numFmtId="181" formatCode="General&quot;月&quot;"/>
    <numFmt numFmtId="182" formatCode="General&quot;年&quot;"/>
    <numFmt numFmtId="183" formatCode="&quot;×　　&quot;#,##0"/>
    <numFmt numFmtId="184" formatCode="&quot;×　　&quot;0.0"/>
    <numFmt numFmtId="185" formatCode="&quot;×&quot;0&quot;か月＝&quot;"/>
    <numFmt numFmtId="186" formatCode="#,##0&quot;年&quot;"/>
  </numFmts>
  <fonts count="35">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20"/>
      <color theme="1"/>
      <name val="Meiryo UI"/>
      <family val="3"/>
      <charset val="128"/>
    </font>
    <font>
      <sz val="6"/>
      <name val="游ゴシック"/>
      <family val="2"/>
      <charset val="128"/>
      <scheme val="minor"/>
    </font>
    <font>
      <b/>
      <sz val="16"/>
      <color theme="1"/>
      <name val="Meiryo UI"/>
      <family val="3"/>
      <charset val="128"/>
    </font>
    <font>
      <sz val="11"/>
      <color theme="1"/>
      <name val="Meiryo UI"/>
      <family val="3"/>
      <charset val="128"/>
    </font>
    <font>
      <b/>
      <sz val="11"/>
      <color theme="1"/>
      <name val="Meiryo UI"/>
      <family val="3"/>
      <charset val="128"/>
    </font>
    <font>
      <b/>
      <sz val="12"/>
      <color theme="1"/>
      <name val="游ゴシック"/>
      <family val="3"/>
      <charset val="128"/>
      <scheme val="minor"/>
    </font>
    <font>
      <b/>
      <sz val="18"/>
      <color theme="1"/>
      <name val="Meiryo UI"/>
      <family val="3"/>
      <charset val="128"/>
    </font>
    <font>
      <sz val="14"/>
      <color theme="1"/>
      <name val="Meiryo UI"/>
      <family val="3"/>
      <charset val="128"/>
    </font>
    <font>
      <b/>
      <sz val="11"/>
      <color theme="1"/>
      <name val="游ゴシック"/>
      <family val="3"/>
      <charset val="128"/>
      <scheme val="minor"/>
    </font>
    <font>
      <sz val="11"/>
      <name val="游ゴシック"/>
      <family val="3"/>
      <charset val="128"/>
      <scheme val="minor"/>
    </font>
    <font>
      <sz val="16"/>
      <color theme="1"/>
      <name val="Meiryo UI"/>
      <family val="3"/>
      <charset val="128"/>
    </font>
    <font>
      <sz val="14"/>
      <color rgb="FFFF0000"/>
      <name val="Meiryo UI"/>
      <family val="3"/>
      <charset val="128"/>
    </font>
    <font>
      <i/>
      <sz val="8"/>
      <color rgb="FFFF0000"/>
      <name val="Meiryo UI"/>
      <family val="3"/>
      <charset val="128"/>
    </font>
    <font>
      <sz val="11"/>
      <color rgb="FFFF0000"/>
      <name val="Meiryo UI"/>
      <family val="3"/>
      <charset val="128"/>
    </font>
    <font>
      <b/>
      <sz val="11"/>
      <color rgb="FFFF0000"/>
      <name val="Meiryo UI"/>
      <family val="3"/>
      <charset val="128"/>
    </font>
    <font>
      <sz val="9"/>
      <color theme="1"/>
      <name val="Meiryo UI"/>
      <family val="3"/>
      <charset val="128"/>
    </font>
    <font>
      <b/>
      <sz val="9"/>
      <color theme="5"/>
      <name val="Meiryo UI"/>
      <family val="3"/>
      <charset val="128"/>
    </font>
    <font>
      <b/>
      <sz val="11"/>
      <color theme="5"/>
      <name val="Meiryo UI"/>
      <family val="3"/>
      <charset val="128"/>
    </font>
    <font>
      <sz val="10"/>
      <color theme="1"/>
      <name val="Meiryo UI"/>
      <family val="3"/>
      <charset val="128"/>
    </font>
    <font>
      <sz val="10"/>
      <color theme="5"/>
      <name val="Meiryo UI"/>
      <family val="3"/>
      <charset val="128"/>
    </font>
    <font>
      <i/>
      <sz val="8"/>
      <color rgb="FFFF0000"/>
      <name val="游ゴシック"/>
      <family val="3"/>
      <charset val="128"/>
      <scheme val="minor"/>
    </font>
    <font>
      <sz val="8"/>
      <color theme="1"/>
      <name val="Meiryo UI"/>
      <family val="3"/>
      <charset val="128"/>
    </font>
    <font>
      <b/>
      <sz val="12"/>
      <color theme="1"/>
      <name val="Meiryo UI"/>
      <family val="3"/>
      <charset val="128"/>
    </font>
    <font>
      <b/>
      <sz val="12"/>
      <color rgb="FFFF0000"/>
      <name val="Meiryo UI"/>
      <family val="3"/>
      <charset val="128"/>
    </font>
    <font>
      <sz val="12"/>
      <color theme="1"/>
      <name val="Meiryo UI"/>
      <family val="3"/>
      <charset val="128"/>
    </font>
    <font>
      <b/>
      <sz val="14"/>
      <color theme="1"/>
      <name val="Meiryo UI"/>
      <family val="3"/>
      <charset val="128"/>
    </font>
    <font>
      <b/>
      <sz val="14"/>
      <color theme="1"/>
      <name val="游ゴシック"/>
      <family val="3"/>
      <charset val="128"/>
      <scheme val="minor"/>
    </font>
    <font>
      <b/>
      <sz val="14"/>
      <color theme="1"/>
      <name val="游ゴシック"/>
      <family val="2"/>
      <charset val="128"/>
      <scheme val="minor"/>
    </font>
    <font>
      <i/>
      <sz val="11"/>
      <color rgb="FFFF0000"/>
      <name val="Meiryo UI"/>
      <family val="3"/>
      <charset val="128"/>
    </font>
    <font>
      <b/>
      <sz val="11"/>
      <color rgb="FFFF0000"/>
      <name val="游ゴシック"/>
      <family val="3"/>
      <charset val="128"/>
      <scheme val="minor"/>
    </font>
    <font>
      <sz val="14"/>
      <color theme="1"/>
      <name val="游ゴシック"/>
      <family val="2"/>
      <charset val="128"/>
      <scheme val="minor"/>
    </font>
    <font>
      <b/>
      <sz val="25"/>
      <color theme="1"/>
      <name val="Meiryo UI"/>
      <family val="3"/>
      <charset val="128"/>
    </font>
  </fonts>
  <fills count="9">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rgb="FFCCFF99"/>
        <bgColor indexed="64"/>
      </patternFill>
    </fill>
    <fill>
      <patternFill patternType="solid">
        <fgColor rgb="FF99FF99"/>
        <bgColor indexed="64"/>
      </patternFill>
    </fill>
    <fill>
      <patternFill patternType="solid">
        <fgColor rgb="FF66FFFF"/>
        <bgColor indexed="64"/>
      </patternFill>
    </fill>
    <fill>
      <patternFill patternType="solid">
        <fgColor rgb="FFFFCC99"/>
        <bgColor indexed="64"/>
      </patternFill>
    </fill>
    <fill>
      <patternFill patternType="solid">
        <fgColor rgb="FFFFCC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Dashed">
        <color auto="1"/>
      </bottom>
      <diagonal/>
    </border>
    <border>
      <left/>
      <right/>
      <top style="mediumDashed">
        <color auto="1"/>
      </top>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diagonalUp="1">
      <left/>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3" fillId="2" borderId="0" xfId="0" applyFont="1" applyFill="1" applyAlignment="1">
      <alignment horizontal="center" vertical="center"/>
    </xf>
    <xf numFmtId="0" fontId="5" fillId="0" borderId="0" xfId="0" applyFont="1" applyAlignment="1">
      <alignment horizontal="center" vertical="center"/>
    </xf>
    <xf numFmtId="0" fontId="6" fillId="0" borderId="1" xfId="0" applyFont="1" applyBorder="1">
      <alignment vertical="center"/>
    </xf>
    <xf numFmtId="38" fontId="6" fillId="2" borderId="1" xfId="1" applyFont="1" applyFill="1" applyBorder="1" applyAlignment="1" applyProtection="1">
      <alignment horizontal="right"/>
      <protection locked="0"/>
    </xf>
    <xf numFmtId="38" fontId="6" fillId="2" borderId="2" xfId="1" applyFont="1" applyFill="1" applyBorder="1" applyProtection="1">
      <alignment vertical="center"/>
      <protection locked="0"/>
    </xf>
    <xf numFmtId="0" fontId="6" fillId="0" borderId="3" xfId="0" applyFont="1" applyBorder="1" applyAlignment="1">
      <alignment horizontal="center" vertical="center" shrinkToFit="1"/>
    </xf>
    <xf numFmtId="176" fontId="6" fillId="0" borderId="3" xfId="0" applyNumberFormat="1" applyFont="1" applyBorder="1" applyAlignment="1">
      <alignment horizontal="center" vertical="center"/>
    </xf>
    <xf numFmtId="38" fontId="6" fillId="0" borderId="4" xfId="1" applyFont="1" applyFill="1" applyBorder="1" applyProtection="1">
      <alignment vertical="center"/>
    </xf>
    <xf numFmtId="177" fontId="6" fillId="0" borderId="3" xfId="0" applyNumberFormat="1" applyFont="1" applyBorder="1" applyAlignment="1">
      <alignment horizontal="center" vertical="center"/>
    </xf>
    <xf numFmtId="38" fontId="6" fillId="0" borderId="4" xfId="1" applyFont="1" applyBorder="1" applyProtection="1">
      <alignment vertical="center"/>
    </xf>
    <xf numFmtId="178" fontId="6" fillId="0" borderId="3" xfId="0" applyNumberFormat="1" applyFont="1" applyBorder="1" applyAlignment="1">
      <alignment horizontal="center" vertical="center" shrinkToFit="1"/>
    </xf>
    <xf numFmtId="0" fontId="0" fillId="2" borderId="0" xfId="0" applyFill="1">
      <alignment vertical="center"/>
    </xf>
    <xf numFmtId="0" fontId="6" fillId="0" borderId="2" xfId="0" applyFont="1" applyBorder="1">
      <alignment vertical="center"/>
    </xf>
    <xf numFmtId="0" fontId="6" fillId="0" borderId="3" xfId="0" applyFont="1" applyBorder="1" applyAlignment="1">
      <alignment horizontal="center" vertical="center"/>
    </xf>
    <xf numFmtId="0" fontId="6" fillId="0" borderId="3" xfId="0" applyFont="1" applyBorder="1">
      <alignment vertical="center"/>
    </xf>
    <xf numFmtId="38" fontId="6" fillId="4" borderId="4" xfId="0" applyNumberFormat="1" applyFont="1" applyFill="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5" xfId="0" applyFont="1" applyBorder="1" applyAlignment="1">
      <alignment horizontal="left" vertical="center"/>
    </xf>
    <xf numFmtId="0" fontId="6" fillId="0" borderId="6" xfId="0" applyFont="1" applyBorder="1">
      <alignment vertical="center"/>
    </xf>
    <xf numFmtId="179" fontId="6" fillId="0" borderId="7" xfId="0" applyNumberFormat="1" applyFont="1" applyBorder="1" applyAlignment="1">
      <alignment horizontal="center" vertical="center" shrinkToFit="1"/>
    </xf>
    <xf numFmtId="0" fontId="6" fillId="0" borderId="7" xfId="0" applyFont="1" applyBorder="1">
      <alignment vertical="center"/>
    </xf>
    <xf numFmtId="38" fontId="6" fillId="4" borderId="8" xfId="1" applyFont="1" applyFill="1" applyBorder="1" applyAlignment="1" applyProtection="1">
      <alignment horizontal="right"/>
    </xf>
    <xf numFmtId="0" fontId="6" fillId="0" borderId="9" xfId="0" applyFont="1" applyBorder="1" applyAlignment="1">
      <alignment horizontal="left" vertical="center"/>
    </xf>
    <xf numFmtId="0" fontId="6" fillId="2" borderId="10" xfId="0" applyFont="1" applyFill="1" applyBorder="1" applyProtection="1">
      <alignment vertical="center"/>
      <protection locked="0"/>
    </xf>
    <xf numFmtId="179" fontId="6" fillId="0" borderId="11" xfId="0" applyNumberFormat="1" applyFont="1" applyBorder="1" applyAlignment="1">
      <alignment horizontal="center" vertical="center" shrinkToFit="1"/>
    </xf>
    <xf numFmtId="3" fontId="6" fillId="2" borderId="11" xfId="0" applyNumberFormat="1" applyFont="1" applyFill="1" applyBorder="1" applyProtection="1">
      <alignment vertical="center"/>
      <protection locked="0"/>
    </xf>
    <xf numFmtId="38" fontId="6" fillId="4" borderId="12" xfId="1" applyFont="1" applyFill="1" applyBorder="1" applyAlignment="1" applyProtection="1">
      <alignment horizontal="right"/>
    </xf>
    <xf numFmtId="0" fontId="0" fillId="0" borderId="0" xfId="0"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lignment horizontal="center" vertical="center" shrinkToFit="1"/>
    </xf>
    <xf numFmtId="0" fontId="0" fillId="0" borderId="13" xfId="0" applyBorder="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shrinkToFit="1"/>
    </xf>
    <xf numFmtId="0" fontId="0" fillId="0" borderId="14" xfId="0" applyBorder="1">
      <alignment vertical="center"/>
    </xf>
    <xf numFmtId="0" fontId="9" fillId="0" borderId="0" xfId="0" applyFont="1" applyAlignment="1">
      <alignment horizontal="center" vertical="center"/>
    </xf>
    <xf numFmtId="0" fontId="10" fillId="0" borderId="11" xfId="0" applyFont="1" applyBorder="1" applyAlignment="1">
      <alignment horizontal="center" vertical="center"/>
    </xf>
    <xf numFmtId="0" fontId="5" fillId="0" borderId="0" xfId="0" applyFont="1" applyAlignment="1">
      <alignment horizontal="center" vertical="center"/>
    </xf>
    <xf numFmtId="0" fontId="0" fillId="0" borderId="1" xfId="0" applyBorder="1">
      <alignment vertical="center"/>
    </xf>
    <xf numFmtId="38" fontId="6" fillId="2" borderId="1" xfId="1" applyFont="1" applyFill="1" applyBorder="1" applyProtection="1">
      <alignment vertical="center"/>
      <protection locked="0"/>
    </xf>
    <xf numFmtId="38" fontId="0" fillId="0" borderId="1" xfId="1" applyFont="1" applyBorder="1" applyProtection="1">
      <alignment vertical="center"/>
    </xf>
    <xf numFmtId="9" fontId="0" fillId="2" borderId="0" xfId="0" applyNumberFormat="1" applyFill="1" applyProtection="1">
      <alignment vertical="center"/>
      <protection locked="0"/>
    </xf>
    <xf numFmtId="0" fontId="11" fillId="4" borderId="1" xfId="0" applyFont="1" applyFill="1" applyBorder="1">
      <alignment vertical="center"/>
    </xf>
    <xf numFmtId="38" fontId="11" fillId="4" borderId="1" xfId="1" applyFont="1" applyFill="1" applyBorder="1" applyProtection="1">
      <alignment vertical="center"/>
    </xf>
    <xf numFmtId="0" fontId="12" fillId="0" borderId="1" xfId="0" applyFont="1" applyBorder="1">
      <alignment vertical="center"/>
    </xf>
    <xf numFmtId="0" fontId="2" fillId="0" borderId="0" xfId="0" applyFont="1">
      <alignment vertical="center"/>
    </xf>
    <xf numFmtId="0" fontId="3"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7" fillId="0" borderId="0" xfId="0" applyFont="1">
      <alignment vertical="center"/>
    </xf>
    <xf numFmtId="38" fontId="15" fillId="0" borderId="0" xfId="1" applyFont="1" applyProtection="1">
      <alignment vertical="center"/>
    </xf>
    <xf numFmtId="38" fontId="16" fillId="0" borderId="0" xfId="1" applyFont="1" applyProtection="1">
      <alignment vertical="center"/>
    </xf>
    <xf numFmtId="0" fontId="7" fillId="0" borderId="1" xfId="0" applyFont="1" applyBorder="1">
      <alignment vertical="center"/>
    </xf>
    <xf numFmtId="0" fontId="6" fillId="2" borderId="1" xfId="0" applyFont="1" applyFill="1" applyBorder="1" applyProtection="1">
      <alignment vertical="center"/>
      <protection locked="0"/>
    </xf>
    <xf numFmtId="0" fontId="6" fillId="0" borderId="4" xfId="0" applyFont="1" applyBorder="1">
      <alignment vertical="center"/>
    </xf>
    <xf numFmtId="38" fontId="6" fillId="0" borderId="1" xfId="1" applyFont="1" applyBorder="1" applyProtection="1">
      <alignment vertical="center"/>
    </xf>
    <xf numFmtId="0" fontId="6" fillId="6" borderId="5" xfId="0" applyFont="1" applyFill="1" applyBorder="1">
      <alignment vertical="center"/>
    </xf>
    <xf numFmtId="0" fontId="7" fillId="0" borderId="5" xfId="0" applyFont="1" applyBorder="1">
      <alignment vertical="center"/>
    </xf>
    <xf numFmtId="0" fontId="6" fillId="0" borderId="5" xfId="0" applyFont="1" applyBorder="1">
      <alignment vertical="center"/>
    </xf>
    <xf numFmtId="0" fontId="17" fillId="0" borderId="7" xfId="0" applyFont="1" applyBorder="1">
      <alignment vertical="center"/>
    </xf>
    <xf numFmtId="0" fontId="6" fillId="0" borderId="8" xfId="0" applyFont="1" applyBorder="1">
      <alignment vertical="center"/>
    </xf>
    <xf numFmtId="38" fontId="6" fillId="0" borderId="5" xfId="1" applyFont="1" applyBorder="1" applyProtection="1">
      <alignment vertical="center"/>
    </xf>
    <xf numFmtId="0" fontId="6" fillId="6" borderId="15" xfId="0" applyFont="1" applyFill="1" applyBorder="1">
      <alignment vertical="center"/>
    </xf>
    <xf numFmtId="0" fontId="6" fillId="0" borderId="16" xfId="0" applyFont="1" applyBorder="1">
      <alignment vertical="center"/>
    </xf>
    <xf numFmtId="0" fontId="6" fillId="0" borderId="16" xfId="0" applyFont="1" applyBorder="1" applyAlignment="1">
      <alignment vertical="center" wrapText="1"/>
    </xf>
    <xf numFmtId="0" fontId="6" fillId="0" borderId="17" xfId="0" applyFont="1" applyBorder="1">
      <alignment vertical="center"/>
    </xf>
    <xf numFmtId="0" fontId="7" fillId="0" borderId="16" xfId="0" applyFont="1" applyBorder="1">
      <alignment vertical="center"/>
    </xf>
    <xf numFmtId="0" fontId="7" fillId="0" borderId="1" xfId="0" applyFont="1" applyBorder="1" applyAlignment="1">
      <alignment horizontal="right" vertical="center"/>
    </xf>
    <xf numFmtId="180" fontId="6" fillId="2" borderId="1" xfId="0" applyNumberFormat="1" applyFont="1" applyFill="1" applyBorder="1" applyProtection="1">
      <alignment vertical="center"/>
      <protection locked="0"/>
    </xf>
    <xf numFmtId="176" fontId="6" fillId="0" borderId="1" xfId="0" applyNumberFormat="1" applyFont="1" applyBorder="1">
      <alignment vertical="center"/>
    </xf>
    <xf numFmtId="38" fontId="7" fillId="6" borderId="9" xfId="0" applyNumberFormat="1" applyFont="1" applyFill="1" applyBorder="1">
      <alignment vertical="center"/>
    </xf>
    <xf numFmtId="38" fontId="0" fillId="0" borderId="0" xfId="0" applyNumberFormat="1">
      <alignment vertical="center"/>
    </xf>
    <xf numFmtId="0" fontId="20" fillId="0" borderId="0" xfId="0" applyFont="1">
      <alignment vertical="center"/>
    </xf>
    <xf numFmtId="38" fontId="6" fillId="0" borderId="0" xfId="0" applyNumberFormat="1" applyFont="1">
      <alignment vertical="center"/>
    </xf>
    <xf numFmtId="0" fontId="15" fillId="0" borderId="0" xfId="0" applyFont="1">
      <alignment vertical="center"/>
    </xf>
    <xf numFmtId="0" fontId="21" fillId="0" borderId="1" xfId="0" applyFont="1" applyBorder="1" applyAlignment="1">
      <alignment vertical="center" wrapText="1"/>
    </xf>
    <xf numFmtId="0" fontId="7" fillId="0" borderId="1" xfId="0" applyFont="1" applyBorder="1" applyAlignment="1">
      <alignment vertical="center" wrapText="1"/>
    </xf>
    <xf numFmtId="38" fontId="0" fillId="0" borderId="1" xfId="0" applyNumberFormat="1" applyBorder="1">
      <alignment vertical="center"/>
    </xf>
    <xf numFmtId="38" fontId="7" fillId="6" borderId="1" xfId="0" applyNumberFormat="1" applyFont="1" applyFill="1" applyBorder="1" applyAlignment="1">
      <alignment horizontal="right"/>
    </xf>
    <xf numFmtId="0" fontId="7" fillId="6" borderId="1" xfId="0" applyFont="1" applyFill="1" applyBorder="1" applyAlignment="1">
      <alignment horizontal="right"/>
    </xf>
    <xf numFmtId="0" fontId="19" fillId="0" borderId="0" xfId="0" applyFont="1">
      <alignment vertical="center"/>
    </xf>
    <xf numFmtId="0" fontId="23" fillId="0" borderId="0" xfId="0" applyFont="1">
      <alignment vertical="center"/>
    </xf>
    <xf numFmtId="0" fontId="24" fillId="0" borderId="1" xfId="0" applyFont="1" applyBorder="1" applyAlignment="1">
      <alignment vertical="center" wrapText="1"/>
    </xf>
    <xf numFmtId="0" fontId="21" fillId="0" borderId="1" xfId="0" applyFont="1" applyBorder="1">
      <alignment vertical="center"/>
    </xf>
    <xf numFmtId="0" fontId="7" fillId="0" borderId="6" xfId="0" applyFont="1" applyBorder="1">
      <alignment vertical="center"/>
    </xf>
    <xf numFmtId="0" fontId="0" fillId="0" borderId="8" xfId="0" applyBorder="1">
      <alignment vertical="center"/>
    </xf>
    <xf numFmtId="181" fontId="0" fillId="2" borderId="5" xfId="0" applyNumberFormat="1" applyFill="1" applyBorder="1" applyProtection="1">
      <alignment vertical="center"/>
      <protection locked="0"/>
    </xf>
    <xf numFmtId="0" fontId="0" fillId="0" borderId="5" xfId="0" applyBorder="1">
      <alignment vertical="center"/>
    </xf>
    <xf numFmtId="3" fontId="6" fillId="0" borderId="5" xfId="0" applyNumberFormat="1" applyFont="1" applyBorder="1">
      <alignment vertical="center"/>
    </xf>
    <xf numFmtId="38" fontId="7" fillId="6" borderId="5" xfId="1" applyFont="1" applyFill="1" applyBorder="1" applyAlignment="1" applyProtection="1">
      <alignment horizontal="right"/>
    </xf>
    <xf numFmtId="0" fontId="7" fillId="0" borderId="18" xfId="0" applyFont="1" applyBorder="1">
      <alignment vertical="center"/>
    </xf>
    <xf numFmtId="0" fontId="0" fillId="0" borderId="19" xfId="0" applyBorder="1">
      <alignment vertical="center"/>
    </xf>
    <xf numFmtId="0" fontId="0" fillId="0" borderId="16" xfId="0" applyBorder="1">
      <alignment vertical="center"/>
    </xf>
    <xf numFmtId="0" fontId="0" fillId="0" borderId="17" xfId="0" applyBorder="1">
      <alignment vertical="center"/>
    </xf>
    <xf numFmtId="38" fontId="7" fillId="6" borderId="15" xfId="1" applyFont="1" applyFill="1" applyBorder="1" applyAlignment="1" applyProtection="1">
      <alignment horizontal="right"/>
    </xf>
    <xf numFmtId="0" fontId="0" fillId="0" borderId="2" xfId="0" applyBorder="1">
      <alignment vertical="center"/>
    </xf>
    <xf numFmtId="0" fontId="0" fillId="0" borderId="4" xfId="0" applyBorder="1">
      <alignment vertical="center"/>
    </xf>
    <xf numFmtId="181" fontId="0" fillId="2" borderId="1" xfId="0" applyNumberFormat="1" applyFill="1" applyBorder="1" applyProtection="1">
      <alignment vertical="center"/>
      <protection locked="0"/>
    </xf>
    <xf numFmtId="38" fontId="0" fillId="2" borderId="1" xfId="1" applyFont="1" applyFill="1" applyBorder="1" applyProtection="1">
      <alignment vertical="center"/>
      <protection locked="0"/>
    </xf>
    <xf numFmtId="38" fontId="0" fillId="0" borderId="1" xfId="1" applyFont="1" applyFill="1" applyBorder="1" applyProtection="1">
      <alignment vertical="center"/>
    </xf>
    <xf numFmtId="3" fontId="6" fillId="0" borderId="1" xfId="0" applyNumberFormat="1" applyFont="1" applyBorder="1">
      <alignment vertical="center"/>
    </xf>
    <xf numFmtId="38" fontId="7" fillId="6" borderId="9" xfId="1" applyFont="1" applyFill="1" applyBorder="1" applyAlignment="1" applyProtection="1">
      <alignment horizontal="right"/>
    </xf>
    <xf numFmtId="3" fontId="6" fillId="0" borderId="0" xfId="0" applyNumberFormat="1" applyFo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38" fontId="0" fillId="0" borderId="1" xfId="0" applyNumberFormat="1" applyBorder="1" applyAlignment="1">
      <alignment horizontal="right"/>
    </xf>
    <xf numFmtId="38" fontId="0" fillId="0" borderId="1" xfId="1" applyFont="1" applyBorder="1" applyAlignment="1" applyProtection="1">
      <alignment horizontal="right"/>
    </xf>
    <xf numFmtId="38" fontId="11" fillId="6" borderId="1" xfId="0" applyNumberFormat="1" applyFont="1" applyFill="1" applyBorder="1" applyAlignment="1">
      <alignment horizontal="right"/>
    </xf>
    <xf numFmtId="0" fontId="11" fillId="6" borderId="1" xfId="0" applyFont="1" applyFill="1" applyBorder="1" applyAlignment="1">
      <alignment horizontal="right"/>
    </xf>
    <xf numFmtId="176" fontId="0" fillId="0" borderId="1" xfId="1" applyNumberFormat="1" applyFont="1" applyFill="1" applyBorder="1" applyProtection="1">
      <alignment vertical="center"/>
    </xf>
    <xf numFmtId="0" fontId="11" fillId="0" borderId="2" xfId="0" applyFont="1" applyBorder="1">
      <alignment vertical="center"/>
    </xf>
    <xf numFmtId="0" fontId="0" fillId="0" borderId="3" xfId="0" applyBorder="1">
      <alignment vertical="center"/>
    </xf>
    <xf numFmtId="38" fontId="0" fillId="0" borderId="2" xfId="1" applyFont="1" applyBorder="1" applyAlignment="1" applyProtection="1"/>
    <xf numFmtId="38" fontId="0" fillId="0" borderId="1" xfId="1" applyFont="1" applyBorder="1" applyAlignment="1" applyProtection="1"/>
    <xf numFmtId="38" fontId="11" fillId="6" borderId="1" xfId="1" applyFont="1" applyFill="1" applyBorder="1" applyProtection="1">
      <alignment vertical="center"/>
    </xf>
    <xf numFmtId="0" fontId="7" fillId="0" borderId="2" xfId="0" applyFont="1" applyBorder="1">
      <alignment vertical="center"/>
    </xf>
    <xf numFmtId="0" fontId="6" fillId="0" borderId="1" xfId="0" applyFont="1" applyBorder="1" applyAlignment="1">
      <alignment horizontal="center" vertical="center"/>
    </xf>
    <xf numFmtId="182" fontId="6" fillId="2" borderId="1" xfId="0" applyNumberFormat="1" applyFont="1" applyFill="1" applyBorder="1" applyProtection="1">
      <alignment vertical="center"/>
      <protection locked="0"/>
    </xf>
    <xf numFmtId="3" fontId="0" fillId="0" borderId="2" xfId="0" applyNumberFormat="1" applyBorder="1">
      <alignment vertical="center"/>
    </xf>
    <xf numFmtId="3" fontId="11" fillId="6" borderId="1" xfId="0" applyNumberFormat="1" applyFont="1" applyFill="1" applyBorder="1" applyAlignment="1"/>
    <xf numFmtId="3" fontId="0" fillId="0" borderId="0" xfId="0" applyNumberFormat="1">
      <alignment vertical="center"/>
    </xf>
    <xf numFmtId="0" fontId="7" fillId="0" borderId="3" xfId="0" applyFont="1" applyBorder="1">
      <alignment vertical="center"/>
    </xf>
    <xf numFmtId="3" fontId="11" fillId="6" borderId="5" xfId="0" applyNumberFormat="1" applyFont="1" applyFill="1" applyBorder="1" applyAlignment="1">
      <alignment horizontal="right"/>
    </xf>
    <xf numFmtId="3" fontId="11" fillId="6" borderId="15" xfId="0" applyNumberFormat="1" applyFont="1" applyFill="1" applyBorder="1" applyAlignment="1">
      <alignment horizontal="right"/>
    </xf>
    <xf numFmtId="3" fontId="11" fillId="6" borderId="9" xfId="0" applyNumberFormat="1" applyFont="1" applyFill="1" applyBorder="1" applyAlignment="1">
      <alignment horizontal="right"/>
    </xf>
    <xf numFmtId="0" fontId="7" fillId="6" borderId="0" xfId="0" applyFont="1" applyFill="1">
      <alignment vertical="center"/>
    </xf>
    <xf numFmtId="0" fontId="0" fillId="6" borderId="0" xfId="0" applyFill="1">
      <alignment vertical="center"/>
    </xf>
    <xf numFmtId="38" fontId="7" fillId="6" borderId="0" xfId="1" applyFont="1" applyFill="1" applyProtection="1">
      <alignment vertical="center"/>
    </xf>
    <xf numFmtId="0" fontId="9" fillId="0" borderId="0" xfId="0" applyFo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7" fillId="0" borderId="2" xfId="0" applyFont="1" applyBorder="1">
      <alignment vertical="center"/>
    </xf>
    <xf numFmtId="0" fontId="28" fillId="0" borderId="2" xfId="0" applyFont="1" applyBorder="1">
      <alignment vertical="center"/>
    </xf>
    <xf numFmtId="0" fontId="28" fillId="0" borderId="4" xfId="0" applyFont="1" applyBorder="1">
      <alignment vertical="center"/>
    </xf>
    <xf numFmtId="38" fontId="28" fillId="0" borderId="1" xfId="1" applyFont="1" applyBorder="1" applyProtection="1">
      <alignment vertical="center"/>
    </xf>
    <xf numFmtId="38" fontId="28" fillId="5" borderId="1" xfId="1" applyFont="1" applyFill="1" applyBorder="1" applyProtection="1">
      <alignment vertical="center"/>
    </xf>
    <xf numFmtId="0" fontId="25" fillId="0" borderId="1" xfId="0" applyFont="1" applyBorder="1">
      <alignment vertical="center"/>
    </xf>
    <xf numFmtId="180" fontId="27" fillId="2" borderId="1" xfId="0" applyNumberFormat="1" applyFont="1" applyFill="1" applyBorder="1" applyProtection="1">
      <alignment vertical="center"/>
      <protection locked="0"/>
    </xf>
    <xf numFmtId="0" fontId="27" fillId="0" borderId="0" xfId="0" applyFont="1">
      <alignment vertical="center"/>
    </xf>
    <xf numFmtId="0" fontId="25" fillId="0" borderId="2" xfId="0" applyFont="1" applyBorder="1">
      <alignment vertical="center"/>
    </xf>
    <xf numFmtId="182" fontId="27" fillId="0" borderId="3" xfId="0" applyNumberFormat="1" applyFont="1" applyBorder="1">
      <alignment vertical="center"/>
    </xf>
    <xf numFmtId="183" fontId="27" fillId="0" borderId="3" xfId="0" applyNumberFormat="1" applyFont="1" applyBorder="1">
      <alignment vertical="center"/>
    </xf>
    <xf numFmtId="184" fontId="27" fillId="0" borderId="3" xfId="0" quotePrefix="1" applyNumberFormat="1" applyFont="1" applyBorder="1" applyAlignment="1">
      <alignment horizontal="center" vertical="center"/>
    </xf>
    <xf numFmtId="185" fontId="27" fillId="0" borderId="3" xfId="0" quotePrefix="1" applyNumberFormat="1" applyFont="1" applyBorder="1" applyAlignment="1">
      <alignment horizontal="center" vertical="center"/>
    </xf>
    <xf numFmtId="3" fontId="29" fillId="0" borderId="4" xfId="0" applyNumberFormat="1" applyFont="1" applyBorder="1">
      <alignment vertical="center"/>
    </xf>
    <xf numFmtId="0" fontId="28" fillId="0" borderId="0" xfId="0" applyFont="1" applyAlignment="1">
      <alignment horizontal="center" vertical="center"/>
    </xf>
    <xf numFmtId="3" fontId="30" fillId="5" borderId="0" xfId="0" applyNumberFormat="1" applyFont="1" applyFill="1">
      <alignment vertical="center"/>
    </xf>
    <xf numFmtId="0" fontId="27" fillId="0" borderId="1" xfId="0" applyFont="1" applyBorder="1">
      <alignment vertical="center"/>
    </xf>
    <xf numFmtId="38" fontId="27" fillId="0" borderId="1" xfId="1" applyFont="1" applyBorder="1" applyProtection="1">
      <alignment vertical="center"/>
    </xf>
    <xf numFmtId="186" fontId="27" fillId="2" borderId="1" xfId="1" applyNumberFormat="1" applyFont="1" applyFill="1" applyBorder="1" applyProtection="1">
      <alignment vertical="center"/>
      <protection locked="0"/>
    </xf>
    <xf numFmtId="0" fontId="31" fillId="0" borderId="1" xfId="0" applyFont="1" applyBorder="1">
      <alignment vertical="center"/>
    </xf>
    <xf numFmtId="0" fontId="27" fillId="2" borderId="1" xfId="0" applyFont="1" applyFill="1" applyBorder="1" applyProtection="1">
      <alignment vertical="center"/>
      <protection locked="0"/>
    </xf>
    <xf numFmtId="0" fontId="16" fillId="0" borderId="1" xfId="0" applyFont="1" applyBorder="1">
      <alignment vertical="center"/>
    </xf>
    <xf numFmtId="38" fontId="31" fillId="0" borderId="1" xfId="1" applyFont="1" applyBorder="1" applyProtection="1">
      <alignment vertical="center"/>
    </xf>
    <xf numFmtId="0" fontId="32" fillId="0" borderId="0" xfId="0" applyFont="1">
      <alignment vertical="center"/>
    </xf>
    <xf numFmtId="0" fontId="25" fillId="0" borderId="3" xfId="0" applyFont="1" applyBorder="1">
      <alignment vertical="center"/>
    </xf>
    <xf numFmtId="38" fontId="27" fillId="2" borderId="3" xfId="1" applyFont="1" applyFill="1" applyBorder="1" applyProtection="1">
      <alignment vertical="center"/>
      <protection locked="0"/>
    </xf>
    <xf numFmtId="38" fontId="27" fillId="0" borderId="3" xfId="1" applyFont="1" applyBorder="1" applyProtection="1">
      <alignment vertical="center"/>
    </xf>
    <xf numFmtId="38" fontId="27" fillId="0" borderId="20" xfId="1" applyFont="1" applyBorder="1" applyProtection="1">
      <alignment vertical="center"/>
    </xf>
    <xf numFmtId="38" fontId="25" fillId="0" borderId="1" xfId="0" applyNumberFormat="1" applyFont="1" applyBorder="1">
      <alignment vertical="center"/>
    </xf>
    <xf numFmtId="38" fontId="6" fillId="0" borderId="1" xfId="0" applyNumberFormat="1" applyFont="1" applyBorder="1">
      <alignment vertical="center"/>
    </xf>
    <xf numFmtId="38" fontId="6" fillId="0" borderId="1" xfId="0" applyNumberFormat="1" applyFont="1" applyBorder="1" applyAlignment="1">
      <alignment horizontal="right"/>
    </xf>
    <xf numFmtId="0" fontId="6" fillId="0" borderId="15" xfId="0" applyFont="1" applyBorder="1">
      <alignment vertical="center"/>
    </xf>
    <xf numFmtId="0" fontId="6" fillId="0" borderId="1" xfId="0" applyFont="1" applyBorder="1" applyAlignment="1">
      <alignment horizontal="right"/>
    </xf>
    <xf numFmtId="0" fontId="6" fillId="0" borderId="9" xfId="0" applyFont="1" applyBorder="1">
      <alignment vertical="center"/>
    </xf>
    <xf numFmtId="0" fontId="25" fillId="5" borderId="0" xfId="0" applyFont="1" applyFill="1">
      <alignment vertical="center"/>
    </xf>
    <xf numFmtId="0" fontId="0" fillId="5" borderId="0" xfId="0" applyFill="1">
      <alignment vertical="center"/>
    </xf>
    <xf numFmtId="3" fontId="25" fillId="5" borderId="0" xfId="0" applyNumberFormat="1" applyFont="1" applyFill="1">
      <alignment vertical="center"/>
    </xf>
    <xf numFmtId="0" fontId="28" fillId="6" borderId="0" xfId="0" applyFont="1" applyFill="1">
      <alignment vertical="center"/>
    </xf>
    <xf numFmtId="38" fontId="28" fillId="6" borderId="0" xfId="0" applyNumberFormat="1" applyFont="1" applyFill="1">
      <alignment vertical="center"/>
    </xf>
    <xf numFmtId="0" fontId="28" fillId="5" borderId="0" xfId="0" applyFont="1" applyFill="1">
      <alignment vertical="center"/>
    </xf>
    <xf numFmtId="3" fontId="28" fillId="5" borderId="0" xfId="0" applyNumberFormat="1" applyFont="1" applyFill="1">
      <alignment vertical="center"/>
    </xf>
    <xf numFmtId="0" fontId="28" fillId="3" borderId="0" xfId="0" applyFont="1" applyFill="1">
      <alignment vertical="center"/>
    </xf>
    <xf numFmtId="0" fontId="33" fillId="3" borderId="0" xfId="0" applyFont="1" applyFill="1">
      <alignment vertical="center"/>
    </xf>
    <xf numFmtId="3" fontId="28" fillId="3" borderId="0" xfId="0" applyNumberFormat="1" applyFont="1" applyFill="1">
      <alignment vertical="center"/>
    </xf>
    <xf numFmtId="0" fontId="34" fillId="0" borderId="0" xfId="0" applyFont="1" applyAlignment="1">
      <alignment horizontal="center" vertical="center"/>
    </xf>
    <xf numFmtId="0" fontId="3" fillId="7" borderId="0" xfId="0" applyFont="1" applyFill="1">
      <alignment vertical="center"/>
    </xf>
    <xf numFmtId="0" fontId="0" fillId="7" borderId="0" xfId="0" applyFill="1">
      <alignment vertical="center"/>
    </xf>
    <xf numFmtId="38" fontId="7" fillId="0" borderId="1" xfId="0" applyNumberFormat="1" applyFont="1" applyBorder="1">
      <alignment vertical="center"/>
    </xf>
    <xf numFmtId="3" fontId="7" fillId="0" borderId="1" xfId="0" applyNumberFormat="1" applyFont="1" applyBorder="1">
      <alignment vertical="center"/>
    </xf>
    <xf numFmtId="0" fontId="7" fillId="6" borderId="7" xfId="0" applyFont="1" applyFill="1" applyBorder="1">
      <alignment vertical="center"/>
    </xf>
    <xf numFmtId="38" fontId="7" fillId="6" borderId="7" xfId="0" applyNumberFormat="1" applyFont="1" applyFill="1" applyBorder="1">
      <alignment vertical="center"/>
    </xf>
    <xf numFmtId="0" fontId="7" fillId="5" borderId="7" xfId="0" applyFont="1" applyFill="1" applyBorder="1">
      <alignment vertical="center"/>
    </xf>
    <xf numFmtId="3" fontId="7" fillId="5" borderId="7" xfId="0" applyNumberFormat="1" applyFont="1" applyFill="1" applyBorder="1">
      <alignment vertical="center"/>
    </xf>
    <xf numFmtId="0" fontId="7" fillId="8" borderId="1" xfId="0" applyFont="1" applyFill="1" applyBorder="1">
      <alignment vertical="center"/>
    </xf>
    <xf numFmtId="38" fontId="7" fillId="8" borderId="1" xfId="0" applyNumberFormat="1" applyFont="1" applyFill="1" applyBorder="1">
      <alignment vertical="center"/>
    </xf>
    <xf numFmtId="186" fontId="7" fillId="2" borderId="1" xfId="0" applyNumberFormat="1" applyFont="1" applyFill="1" applyBorder="1" applyProtection="1">
      <alignment vertical="center"/>
      <protection locked="0"/>
    </xf>
    <xf numFmtId="0" fontId="7" fillId="0" borderId="7" xfId="0" applyFont="1" applyBorder="1">
      <alignment vertical="center"/>
    </xf>
    <xf numFmtId="3" fontId="7" fillId="0" borderId="7" xfId="0" applyNumberFormat="1" applyFont="1" applyBorder="1">
      <alignment vertical="center"/>
    </xf>
    <xf numFmtId="0" fontId="7" fillId="5" borderId="1" xfId="0" applyFont="1" applyFill="1" applyBorder="1">
      <alignment vertical="center"/>
    </xf>
    <xf numFmtId="38" fontId="7" fillId="5" borderId="1" xfId="0" applyNumberFormat="1" applyFont="1" applyFill="1" applyBorder="1">
      <alignment vertical="center"/>
    </xf>
    <xf numFmtId="3" fontId="7" fillId="8" borderId="1" xfId="0" applyNumberFormat="1" applyFont="1" applyFill="1" applyBorder="1">
      <alignment vertical="center"/>
    </xf>
    <xf numFmtId="0" fontId="17" fillId="0" borderId="0" xfId="0" applyFont="1">
      <alignment vertical="center"/>
    </xf>
    <xf numFmtId="0" fontId="7" fillId="8" borderId="0" xfId="0" applyFont="1" applyFill="1">
      <alignment vertical="center"/>
    </xf>
    <xf numFmtId="3" fontId="5" fillId="8" borderId="0" xfId="0" applyNumberFormat="1"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16566</xdr:rowOff>
    </xdr:from>
    <xdr:to>
      <xdr:col>0</xdr:col>
      <xdr:colOff>1457739</xdr:colOff>
      <xdr:row>30</xdr:row>
      <xdr:rowOff>364435</xdr:rowOff>
    </xdr:to>
    <xdr:pic>
      <xdr:nvPicPr>
        <xdr:cNvPr id="2" name="図 1">
          <a:extLst>
            <a:ext uri="{FF2B5EF4-FFF2-40B4-BE49-F238E27FC236}">
              <a16:creationId xmlns:a16="http://schemas.microsoft.com/office/drawing/2014/main" id="{AA121DB7-40BE-4077-A10D-7D7ADC7D19F6}"/>
            </a:ext>
          </a:extLst>
        </xdr:cNvPr>
        <xdr:cNvPicPr>
          <a:picLocks noChangeAspect="1"/>
        </xdr:cNvPicPr>
      </xdr:nvPicPr>
      <xdr:blipFill>
        <a:blip xmlns:r="http://schemas.openxmlformats.org/officeDocument/2006/relationships" r:embed="rId1"/>
        <a:stretch>
          <a:fillRect/>
        </a:stretch>
      </xdr:blipFill>
      <xdr:spPr>
        <a:xfrm>
          <a:off x="0" y="7617516"/>
          <a:ext cx="1457739" cy="1109869"/>
        </a:xfrm>
        <a:prstGeom prst="rect">
          <a:avLst/>
        </a:prstGeom>
      </xdr:spPr>
    </xdr:pic>
    <xdr:clientData/>
  </xdr:twoCellAnchor>
  <xdr:twoCellAnchor editAs="oneCell">
    <xdr:from>
      <xdr:col>0</xdr:col>
      <xdr:colOff>0</xdr:colOff>
      <xdr:row>17</xdr:row>
      <xdr:rowOff>16567</xdr:rowOff>
    </xdr:from>
    <xdr:to>
      <xdr:col>0</xdr:col>
      <xdr:colOff>1838739</xdr:colOff>
      <xdr:row>19</xdr:row>
      <xdr:rowOff>314738</xdr:rowOff>
    </xdr:to>
    <xdr:pic>
      <xdr:nvPicPr>
        <xdr:cNvPr id="3" name="図 2">
          <a:extLst>
            <a:ext uri="{FF2B5EF4-FFF2-40B4-BE49-F238E27FC236}">
              <a16:creationId xmlns:a16="http://schemas.microsoft.com/office/drawing/2014/main" id="{04CB4B00-F776-4394-909C-3F19F2604AF8}"/>
            </a:ext>
          </a:extLst>
        </xdr:cNvPr>
        <xdr:cNvPicPr>
          <a:picLocks noChangeAspect="1"/>
        </xdr:cNvPicPr>
      </xdr:nvPicPr>
      <xdr:blipFill>
        <a:blip xmlns:r="http://schemas.openxmlformats.org/officeDocument/2006/relationships" r:embed="rId2"/>
        <a:stretch>
          <a:fillRect/>
        </a:stretch>
      </xdr:blipFill>
      <xdr:spPr>
        <a:xfrm>
          <a:off x="0" y="4579042"/>
          <a:ext cx="1838739" cy="983971"/>
        </a:xfrm>
        <a:prstGeom prst="rect">
          <a:avLst/>
        </a:prstGeom>
      </xdr:spPr>
    </xdr:pic>
    <xdr:clientData/>
  </xdr:twoCellAnchor>
  <xdr:twoCellAnchor editAs="oneCell">
    <xdr:from>
      <xdr:col>0</xdr:col>
      <xdr:colOff>0</xdr:colOff>
      <xdr:row>2</xdr:row>
      <xdr:rowOff>41414</xdr:rowOff>
    </xdr:from>
    <xdr:to>
      <xdr:col>0</xdr:col>
      <xdr:colOff>1250674</xdr:colOff>
      <xdr:row>6</xdr:row>
      <xdr:rowOff>1</xdr:rowOff>
    </xdr:to>
    <xdr:pic>
      <xdr:nvPicPr>
        <xdr:cNvPr id="4" name="図 3">
          <a:extLst>
            <a:ext uri="{FF2B5EF4-FFF2-40B4-BE49-F238E27FC236}">
              <a16:creationId xmlns:a16="http://schemas.microsoft.com/office/drawing/2014/main" id="{28582094-D5B9-4494-BDCB-80E284541D78}"/>
            </a:ext>
          </a:extLst>
        </xdr:cNvPr>
        <xdr:cNvPicPr>
          <a:picLocks noChangeAspect="1"/>
        </xdr:cNvPicPr>
      </xdr:nvPicPr>
      <xdr:blipFill>
        <a:blip xmlns:r="http://schemas.openxmlformats.org/officeDocument/2006/relationships" r:embed="rId3"/>
        <a:stretch>
          <a:fillRect/>
        </a:stretch>
      </xdr:blipFill>
      <xdr:spPr>
        <a:xfrm>
          <a:off x="0" y="927239"/>
          <a:ext cx="1250674" cy="91108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5EE-B7EB-4F4A-B792-507EB8078401}">
  <dimension ref="A1:L62"/>
  <sheetViews>
    <sheetView tabSelected="1" view="pageBreakPreview" zoomScale="157" zoomScaleNormal="130" zoomScaleSheetLayoutView="130" workbookViewId="0">
      <selection activeCell="C9" sqref="C9"/>
    </sheetView>
  </sheetViews>
  <sheetFormatPr defaultRowHeight="18.75"/>
  <cols>
    <col min="1" max="1" width="7.75" customWidth="1"/>
    <col min="2" max="2" width="12.125" customWidth="1"/>
    <col min="3" max="3" width="6.125" customWidth="1"/>
    <col min="4" max="4" width="11.25" customWidth="1"/>
    <col min="5" max="5" width="8.875" customWidth="1"/>
    <col min="6" max="6" width="12.375" customWidth="1"/>
    <col min="7" max="7" width="12.625" hidden="1" customWidth="1"/>
    <col min="8" max="8" width="12.75" customWidth="1"/>
    <col min="9" max="9" width="12.375" customWidth="1"/>
    <col min="10" max="10" width="12.25" customWidth="1"/>
    <col min="11" max="11" width="17.375" customWidth="1"/>
    <col min="12" max="12" width="7.375" hidden="1" customWidth="1"/>
  </cols>
  <sheetData>
    <row r="1" spans="1:12" ht="28.5">
      <c r="A1" s="47" t="s">
        <v>0</v>
      </c>
      <c r="B1" s="12"/>
      <c r="C1" s="12"/>
      <c r="D1" s="12"/>
      <c r="E1" s="12"/>
      <c r="F1" s="12"/>
      <c r="G1" s="12"/>
      <c r="H1" s="12"/>
      <c r="I1" s="12"/>
      <c r="J1" s="12"/>
      <c r="K1" s="12"/>
    </row>
    <row r="2" spans="1:12" ht="21">
      <c r="A2" s="48" t="s">
        <v>34</v>
      </c>
      <c r="B2" s="12"/>
      <c r="C2" s="12"/>
      <c r="D2" s="12"/>
      <c r="E2" s="12"/>
      <c r="F2" s="12"/>
      <c r="G2" s="12"/>
      <c r="H2" s="12"/>
      <c r="I2" s="12"/>
      <c r="J2" s="12"/>
      <c r="K2" s="12"/>
    </row>
    <row r="3" spans="1:12" ht="21">
      <c r="A3" s="48" t="s">
        <v>35</v>
      </c>
      <c r="B3" s="12"/>
      <c r="C3" s="12"/>
      <c r="D3" s="12"/>
      <c r="E3" s="12"/>
      <c r="F3" s="12"/>
      <c r="G3" s="12"/>
      <c r="H3" s="12"/>
      <c r="I3" s="12"/>
      <c r="J3" s="12"/>
      <c r="K3" s="12"/>
    </row>
    <row r="4" spans="1:12" ht="19.5">
      <c r="A4" s="49" t="s">
        <v>36</v>
      </c>
      <c r="B4" s="12"/>
      <c r="C4" s="12"/>
      <c r="D4" s="12"/>
      <c r="E4" s="12"/>
      <c r="F4" s="12"/>
      <c r="G4" s="12"/>
      <c r="H4" s="12"/>
      <c r="I4" s="12"/>
      <c r="J4" s="12"/>
      <c r="K4" s="12"/>
    </row>
    <row r="5" spans="1:12">
      <c r="A5" s="50" t="s">
        <v>37</v>
      </c>
    </row>
    <row r="6" spans="1:12" ht="9" customHeight="1">
      <c r="B6" s="17"/>
      <c r="C6" s="17"/>
      <c r="D6" s="17"/>
      <c r="E6" s="17"/>
      <c r="F6" s="17"/>
      <c r="G6" s="17"/>
      <c r="H6" s="51">
        <v>847300</v>
      </c>
      <c r="I6" s="51">
        <v>243800</v>
      </c>
      <c r="J6" s="17"/>
      <c r="K6" s="17"/>
    </row>
    <row r="7" spans="1:12" ht="9" customHeight="1">
      <c r="A7" s="50"/>
      <c r="B7" s="17"/>
      <c r="C7" s="17"/>
      <c r="D7" s="17"/>
      <c r="E7" s="17"/>
      <c r="F7" s="17"/>
      <c r="G7" s="17"/>
      <c r="H7" s="52"/>
      <c r="I7" s="51">
        <v>81300</v>
      </c>
      <c r="J7" s="17"/>
      <c r="K7" s="17"/>
    </row>
    <row r="8" spans="1:12">
      <c r="A8" s="17"/>
      <c r="B8" s="17" t="s">
        <v>38</v>
      </c>
      <c r="C8" s="17"/>
      <c r="D8" s="17"/>
      <c r="E8" s="17"/>
      <c r="F8" s="17"/>
      <c r="G8" s="17" t="s">
        <v>39</v>
      </c>
      <c r="H8" s="53" t="s">
        <v>40</v>
      </c>
      <c r="I8" s="53" t="s">
        <v>41</v>
      </c>
      <c r="J8" s="53" t="s">
        <v>42</v>
      </c>
      <c r="K8" s="53" t="s">
        <v>43</v>
      </c>
    </row>
    <row r="9" spans="1:12">
      <c r="A9" s="17"/>
      <c r="B9" s="53" t="s">
        <v>44</v>
      </c>
      <c r="C9" s="54" t="s">
        <v>45</v>
      </c>
      <c r="D9" s="13"/>
      <c r="E9" s="15"/>
      <c r="F9" s="55"/>
      <c r="G9" s="17">
        <f>IF(($C$11="有")*AND(C9="はい"),1,0)</f>
        <v>1</v>
      </c>
      <c r="H9" s="56">
        <f>IF(G9=1,$H$6,)</f>
        <v>847300</v>
      </c>
      <c r="I9" s="3"/>
      <c r="J9" s="56">
        <f>MAX($F$12:$F$14)*H9</f>
        <v>1694600</v>
      </c>
      <c r="K9" s="57"/>
    </row>
    <row r="10" spans="1:12" ht="19.5" thickBot="1">
      <c r="A10" s="17"/>
      <c r="B10" s="58" t="s">
        <v>46</v>
      </c>
      <c r="C10" s="59" t="str">
        <f>IF(C9="はい","いいえ","はい")</f>
        <v>いいえ</v>
      </c>
      <c r="D10" s="60"/>
      <c r="E10" s="60"/>
      <c r="F10" s="61"/>
      <c r="G10" s="17">
        <f>IF(($C$11="有")*AND(C10="はい"),1,0)</f>
        <v>0</v>
      </c>
      <c r="H10" s="62">
        <f>IF(G10=1,$H$6,)</f>
        <v>0</v>
      </c>
      <c r="I10" s="59"/>
      <c r="J10" s="62">
        <f>MAX($F$12:$F$14)*H10</f>
        <v>0</v>
      </c>
      <c r="K10" s="63"/>
    </row>
    <row r="11" spans="1:12" ht="42" customHeight="1" thickTop="1">
      <c r="A11" s="17"/>
      <c r="B11" s="64" t="s">
        <v>47</v>
      </c>
      <c r="C11" s="64" t="str">
        <f>IF(OR(C12="有",C13="有",C14="有")=TRUE,"有","無")</f>
        <v>有</v>
      </c>
      <c r="D11" s="65" t="s">
        <v>48</v>
      </c>
      <c r="E11" s="64" t="s">
        <v>49</v>
      </c>
      <c r="F11" s="65" t="s">
        <v>50</v>
      </c>
      <c r="G11" s="66"/>
      <c r="H11" s="67"/>
      <c r="I11" s="67"/>
      <c r="J11" s="67"/>
      <c r="K11" s="63"/>
    </row>
    <row r="12" spans="1:12">
      <c r="A12" s="17"/>
      <c r="B12" s="68" t="s">
        <v>51</v>
      </c>
      <c r="C12" s="54" t="s">
        <v>52</v>
      </c>
      <c r="D12" s="54"/>
      <c r="E12" s="69">
        <v>16</v>
      </c>
      <c r="F12" s="70">
        <f t="shared" ref="F12" si="0">IF(C12="有",IF(D12="",IF((18-E12)&gt;0,18-E12,0),IF((20-E12)&gt;0,20-E12,0)),0)</f>
        <v>2</v>
      </c>
      <c r="G12" s="17">
        <f>IF(C12="有",1,0)</f>
        <v>1</v>
      </c>
      <c r="H12" s="56">
        <f>IF(((G9+G10)=0)*AND(G12=1),H6,)</f>
        <v>0</v>
      </c>
      <c r="I12" s="56">
        <f>IF((($G$9+$G$10)&gt;0)*AND(G12=1),$I$6,)</f>
        <v>243800</v>
      </c>
      <c r="J12" s="56">
        <f>(H12+I12)*F12</f>
        <v>487600</v>
      </c>
      <c r="K12" s="63"/>
    </row>
    <row r="13" spans="1:12">
      <c r="A13" s="17"/>
      <c r="B13" s="68" t="s">
        <v>53</v>
      </c>
      <c r="C13" s="54" t="s">
        <v>54</v>
      </c>
      <c r="D13" s="54"/>
      <c r="E13" s="69">
        <v>0</v>
      </c>
      <c r="F13" s="70">
        <f>IF(C13="有",IF(D13="",IF((18-E13)&gt;0,18-E13,0),IF((20-E13)&gt;0,20-E13,0)),0)</f>
        <v>0</v>
      </c>
      <c r="G13" s="17">
        <f t="shared" ref="G13:G14" si="1">IF(C13="有",1,0)</f>
        <v>0</v>
      </c>
      <c r="H13" s="3"/>
      <c r="I13" s="56">
        <f>IF((G13=1),$I$6,)</f>
        <v>0</v>
      </c>
      <c r="J13" s="56">
        <f>I13*F13+(F13-F12)*H12</f>
        <v>0</v>
      </c>
      <c r="K13" s="63"/>
    </row>
    <row r="14" spans="1:12">
      <c r="A14" s="17"/>
      <c r="B14" s="68" t="s">
        <v>55</v>
      </c>
      <c r="C14" s="54" t="s">
        <v>54</v>
      </c>
      <c r="D14" s="54"/>
      <c r="E14" s="69">
        <v>0</v>
      </c>
      <c r="F14" s="70">
        <f t="shared" ref="F14" si="2">IF(C14="有",IF(D14="",IF((18-E14)&gt;0,18-E14,0),IF((20-E14)&gt;0,20-E14,0)),0)</f>
        <v>0</v>
      </c>
      <c r="G14" s="17">
        <f t="shared" si="1"/>
        <v>0</v>
      </c>
      <c r="H14" s="3"/>
      <c r="I14" s="56">
        <f>IF(C14="無",0,IF((($G$9+$G$10)&gt;0)*AND(G14=1),I7,$I$6))</f>
        <v>0</v>
      </c>
      <c r="J14" s="56">
        <f>I14*F14+(F14-F13)*H12</f>
        <v>0</v>
      </c>
      <c r="K14" s="71">
        <f>SUM(J9:J14)</f>
        <v>2182200</v>
      </c>
      <c r="L14" s="72">
        <f>K14</f>
        <v>2182200</v>
      </c>
    </row>
    <row r="15" spans="1:12">
      <c r="A15" s="17"/>
      <c r="B15" s="73" t="s">
        <v>56</v>
      </c>
      <c r="C15" s="17"/>
      <c r="D15" s="17"/>
      <c r="E15" s="17"/>
      <c r="F15" s="17"/>
      <c r="G15" s="17"/>
      <c r="H15" s="17"/>
      <c r="I15" s="17"/>
      <c r="J15" s="74"/>
      <c r="K15" s="74"/>
    </row>
    <row r="16" spans="1:12">
      <c r="A16" s="17"/>
      <c r="B16" s="17"/>
      <c r="C16" s="17"/>
      <c r="D16" s="17"/>
      <c r="E16" s="17"/>
      <c r="F16" s="17"/>
      <c r="G16" s="17"/>
      <c r="H16" s="17"/>
      <c r="I16" s="17"/>
      <c r="J16" s="17"/>
      <c r="K16" s="17"/>
    </row>
    <row r="17" spans="1:12">
      <c r="A17" s="50" t="s">
        <v>57</v>
      </c>
    </row>
    <row r="18" spans="1:12" ht="9" customHeight="1">
      <c r="H18" s="75">
        <v>1.5</v>
      </c>
    </row>
    <row r="19" spans="1:12" ht="42.75">
      <c r="B19" s="17" t="s">
        <v>38</v>
      </c>
      <c r="C19" s="17"/>
      <c r="D19" s="76" t="s">
        <v>58</v>
      </c>
      <c r="E19" s="76" t="s">
        <v>59</v>
      </c>
      <c r="F19" s="76" t="s">
        <v>60</v>
      </c>
      <c r="H19" s="77" t="s">
        <v>61</v>
      </c>
      <c r="I19" s="77" t="s">
        <v>62</v>
      </c>
      <c r="J19" s="53" t="s">
        <v>42</v>
      </c>
      <c r="K19" s="53" t="s">
        <v>63</v>
      </c>
    </row>
    <row r="20" spans="1:12">
      <c r="B20" s="53" t="s">
        <v>44</v>
      </c>
      <c r="C20" s="3" t="str">
        <f>C9</f>
        <v>はい</v>
      </c>
      <c r="D20" s="40">
        <v>400000</v>
      </c>
      <c r="E20" s="69">
        <v>55</v>
      </c>
      <c r="F20" s="70">
        <f>IF((E20&lt;30),IF(SUM(F12:F14)=0,5,MAX(F12:F14)+5),87-E20)</f>
        <v>32</v>
      </c>
      <c r="G20">
        <f>IF(C20="はい",1,0)</f>
        <v>1</v>
      </c>
      <c r="H20" s="41">
        <f>IF(E20&gt;65,0,IF(E20&lt;30,D20*H18*5,D20*H18*(65-E20)))*G20</f>
        <v>6000000</v>
      </c>
      <c r="I20" s="41">
        <f>IF(E20&lt;30,0,IF(E20&gt;65,D20*H18*(87-E20),D20*H18*(87-65)))*G20</f>
        <v>13200000</v>
      </c>
      <c r="J20" s="78">
        <f>H20+I20</f>
        <v>19200000</v>
      </c>
      <c r="K20" s="79">
        <f>IF((SUM(J20:J22)-J33-J34)&gt;0,(SUM(J20:J22)-J33-J34),0)</f>
        <v>8830080</v>
      </c>
    </row>
    <row r="21" spans="1:12">
      <c r="B21" s="58" t="s">
        <v>46</v>
      </c>
      <c r="C21" s="59" t="str">
        <f>C10</f>
        <v>いいえ</v>
      </c>
      <c r="D21" s="40"/>
      <c r="E21" s="69">
        <v>0</v>
      </c>
      <c r="F21" s="70">
        <f>81-E21</f>
        <v>81</v>
      </c>
      <c r="G21">
        <f>IF(C21="はい",1,0)</f>
        <v>0</v>
      </c>
      <c r="H21" s="41">
        <f>IF(E21&gt;65,0,D21*H18*(65-E21))*G21</f>
        <v>0</v>
      </c>
      <c r="I21" s="41">
        <f>IF(E21&lt;30,0,IF(E21&gt;65,D21*H18*(87-E21),D21*H18*(87-65)))*G21</f>
        <v>0</v>
      </c>
      <c r="J21" s="78">
        <f t="shared" ref="J21:J22" si="3">H21+I21</f>
        <v>0</v>
      </c>
      <c r="K21" s="80"/>
    </row>
    <row r="22" spans="1:12">
      <c r="B22" s="53" t="s">
        <v>64</v>
      </c>
      <c r="C22" s="54" t="s">
        <v>65</v>
      </c>
      <c r="D22" s="40"/>
      <c r="E22" s="69">
        <v>0</v>
      </c>
      <c r="F22" s="70">
        <f>18-E22</f>
        <v>18</v>
      </c>
      <c r="G22">
        <f>IF(C22="はい",1,0)</f>
        <v>0</v>
      </c>
      <c r="H22" s="41">
        <f>IF(E22&gt;65,0,D22*H18*F22)*G22</f>
        <v>0</v>
      </c>
      <c r="I22" s="39"/>
      <c r="J22" s="78">
        <f t="shared" si="3"/>
        <v>0</v>
      </c>
      <c r="K22" s="80"/>
      <c r="L22" s="72">
        <f>K20</f>
        <v>8830080</v>
      </c>
    </row>
    <row r="23" spans="1:12">
      <c r="B23" s="73" t="s">
        <v>66</v>
      </c>
    </row>
    <row r="24" spans="1:12">
      <c r="B24" s="73" t="s">
        <v>67</v>
      </c>
    </row>
    <row r="25" spans="1:12">
      <c r="B25" s="81" t="s">
        <v>68</v>
      </c>
    </row>
    <row r="26" spans="1:12">
      <c r="B26" s="81" t="s">
        <v>69</v>
      </c>
    </row>
    <row r="27" spans="1:12">
      <c r="A27" s="50" t="s">
        <v>70</v>
      </c>
    </row>
    <row r="28" spans="1:12" ht="9" customHeight="1">
      <c r="A28" s="50"/>
      <c r="J28" s="82">
        <v>87</v>
      </c>
    </row>
    <row r="29" spans="1:12" ht="9" customHeight="1">
      <c r="J29" s="82">
        <v>81</v>
      </c>
    </row>
    <row r="30" spans="1:12" ht="32.25" customHeight="1">
      <c r="B30" s="77" t="s">
        <v>71</v>
      </c>
      <c r="C30" s="39" t="str">
        <f>IF(C9="はい","妻","夫")</f>
        <v>妻</v>
      </c>
      <c r="D30" s="83" t="s">
        <v>72</v>
      </c>
      <c r="E30" s="84" t="s">
        <v>73</v>
      </c>
      <c r="F30" s="84" t="s">
        <v>74</v>
      </c>
      <c r="H30" s="53" t="s">
        <v>75</v>
      </c>
      <c r="I30" s="53" t="s">
        <v>76</v>
      </c>
      <c r="J30" s="53" t="s">
        <v>42</v>
      </c>
      <c r="K30" s="53" t="s">
        <v>43</v>
      </c>
    </row>
    <row r="31" spans="1:12" ht="19.5" thickBot="1">
      <c r="B31" s="85" t="s">
        <v>77</v>
      </c>
      <c r="C31" s="86"/>
      <c r="D31" s="87">
        <v>300</v>
      </c>
      <c r="E31" s="88"/>
      <c r="F31" s="88"/>
      <c r="H31" s="89">
        <f>H6*D31/480</f>
        <v>529562.5</v>
      </c>
      <c r="I31" s="59"/>
      <c r="J31" s="62">
        <f>IF(C30="妻",IF(E20&lt;65,H31*(J28-65),H31*(J28-E20)),IF(E21&lt;65,H31*(J29-65),H31*(J29-E21)))</f>
        <v>11650375</v>
      </c>
      <c r="K31" s="90">
        <f>J31+J33+J34</f>
        <v>22020295</v>
      </c>
    </row>
    <row r="32" spans="1:12" ht="19.5" thickTop="1">
      <c r="B32" s="91" t="s">
        <v>78</v>
      </c>
      <c r="C32" s="92"/>
      <c r="D32" s="93"/>
      <c r="E32" s="93"/>
      <c r="F32" s="93"/>
      <c r="G32" s="94"/>
      <c r="H32" s="64"/>
      <c r="I32" s="64"/>
      <c r="J32" s="64"/>
      <c r="K32" s="95"/>
    </row>
    <row r="33" spans="1:12">
      <c r="B33" s="96" t="s">
        <v>79</v>
      </c>
      <c r="C33" s="97"/>
      <c r="D33" s="98">
        <v>100</v>
      </c>
      <c r="E33" s="99">
        <v>200000</v>
      </c>
      <c r="F33" s="100"/>
      <c r="H33" s="3"/>
      <c r="I33" s="101">
        <f>E33*7.125/1000*D33</f>
        <v>142500</v>
      </c>
      <c r="J33" s="56">
        <f>IF(C30="妻",IF(E20&lt;65,I33*(J28-65),I33*(J28-E20)),IF(E21&lt;65,I33*(J29-65),I33*(J29-E21)))</f>
        <v>3135000</v>
      </c>
      <c r="K33" s="95"/>
    </row>
    <row r="34" spans="1:12">
      <c r="B34" s="96" t="s">
        <v>80</v>
      </c>
      <c r="C34" s="97"/>
      <c r="D34" s="98">
        <v>150</v>
      </c>
      <c r="E34" s="99">
        <v>300000</v>
      </c>
      <c r="F34" s="99">
        <v>1200000</v>
      </c>
      <c r="H34" s="3"/>
      <c r="I34" s="101">
        <f>(E34+F34/12)*5.481/1000*D34</f>
        <v>328860</v>
      </c>
      <c r="J34" s="56">
        <f>IF(C30="妻",IF(E20&lt;65,I34*(J28-65),I34*(J28-E20)),IF(E20&lt;65,I34*(J29-65),I34*(J29-E20)))</f>
        <v>7234920</v>
      </c>
      <c r="K34" s="102"/>
      <c r="L34" s="72">
        <f>K31</f>
        <v>22020295</v>
      </c>
    </row>
    <row r="35" spans="1:12">
      <c r="H35" s="17"/>
      <c r="I35" s="103"/>
      <c r="J35" s="103"/>
      <c r="K35" s="103"/>
    </row>
    <row r="37" spans="1:12">
      <c r="A37" s="50" t="s">
        <v>81</v>
      </c>
    </row>
    <row r="38" spans="1:12">
      <c r="H38" s="51">
        <f>H6*3/4</f>
        <v>635475</v>
      </c>
    </row>
    <row r="39" spans="1:12">
      <c r="B39" s="50" t="s">
        <v>82</v>
      </c>
      <c r="C39" s="50"/>
      <c r="D39" s="50"/>
      <c r="E39" s="17"/>
      <c r="F39" s="17"/>
      <c r="H39" s="104" t="s">
        <v>83</v>
      </c>
      <c r="I39" s="105"/>
      <c r="J39" s="53" t="s">
        <v>42</v>
      </c>
      <c r="K39" s="53" t="s">
        <v>43</v>
      </c>
    </row>
    <row r="40" spans="1:12">
      <c r="B40" s="13" t="s">
        <v>84</v>
      </c>
      <c r="C40" s="15"/>
      <c r="D40" s="15"/>
      <c r="E40" s="55"/>
      <c r="F40" s="54" t="s">
        <v>85</v>
      </c>
      <c r="G40">
        <f>IF(F40="はい",1,0)</f>
        <v>1</v>
      </c>
      <c r="H40" s="106">
        <f>IF(G40=1,IF(G42&gt;0,H38,IF(G43=1,H38,0)),0)</f>
        <v>635475</v>
      </c>
      <c r="I40" s="106"/>
      <c r="J40" s="107">
        <f>IF(G42&gt;0,IF(G43=1,F44,G42),IF(G43=1,20,0))*H40</f>
        <v>5083800</v>
      </c>
      <c r="K40" s="108">
        <f>J40</f>
        <v>5083800</v>
      </c>
    </row>
    <row r="41" spans="1:12">
      <c r="B41" s="50" t="s">
        <v>86</v>
      </c>
      <c r="C41" s="17"/>
      <c r="D41" s="17"/>
      <c r="E41" s="17"/>
      <c r="F41" s="17"/>
      <c r="H41" s="106"/>
      <c r="I41" s="106"/>
      <c r="J41" s="107"/>
      <c r="K41" s="109"/>
    </row>
    <row r="42" spans="1:12">
      <c r="B42" s="13" t="s">
        <v>87</v>
      </c>
      <c r="C42" s="15"/>
      <c r="D42" s="15"/>
      <c r="E42" s="55"/>
      <c r="F42" s="3" t="str">
        <f>IF(AND(E20&gt;=40,E20&lt;60),"はい","いいえ")</f>
        <v>はい</v>
      </c>
      <c r="G42">
        <f>IF(F42="はい",65-E20,0)</f>
        <v>10</v>
      </c>
      <c r="H42" s="106"/>
      <c r="I42" s="106"/>
      <c r="J42" s="107"/>
      <c r="K42" s="109"/>
    </row>
    <row r="43" spans="1:12">
      <c r="B43" s="13" t="s">
        <v>88</v>
      </c>
      <c r="C43" s="15"/>
      <c r="D43" s="15"/>
      <c r="E43" s="55"/>
      <c r="F43" s="3" t="str">
        <f>IF(J9&gt;0,"はい","いいえ")</f>
        <v>はい</v>
      </c>
      <c r="G43">
        <f t="shared" ref="G43" si="4">IF(F43="はい",1,0)</f>
        <v>1</v>
      </c>
      <c r="H43" s="106"/>
      <c r="I43" s="106"/>
      <c r="J43" s="107"/>
      <c r="K43" s="109"/>
    </row>
    <row r="44" spans="1:12">
      <c r="B44" s="13" t="s">
        <v>89</v>
      </c>
      <c r="C44" s="15"/>
      <c r="D44" s="15"/>
      <c r="E44" s="55"/>
      <c r="F44" s="110">
        <f>65-_xlfn.MAXIFS(F12:F14,F12:F14,"&gt;0")-E20</f>
        <v>8</v>
      </c>
      <c r="H44" s="106"/>
      <c r="I44" s="106"/>
      <c r="J44" s="107"/>
      <c r="K44" s="109"/>
      <c r="L44" s="72">
        <f>K40</f>
        <v>5083800</v>
      </c>
    </row>
    <row r="47" spans="1:12">
      <c r="A47" s="50" t="s">
        <v>90</v>
      </c>
    </row>
    <row r="48" spans="1:12">
      <c r="H48" s="104" t="s">
        <v>91</v>
      </c>
      <c r="I48" s="105"/>
      <c r="J48" s="53" t="s">
        <v>42</v>
      </c>
      <c r="K48" s="53" t="s">
        <v>43</v>
      </c>
    </row>
    <row r="49" spans="1:12">
      <c r="B49" s="111" t="s">
        <v>92</v>
      </c>
      <c r="C49" s="112"/>
      <c r="D49" s="112"/>
      <c r="E49" s="112"/>
      <c r="F49" s="97"/>
      <c r="H49" s="113">
        <v>8000000</v>
      </c>
      <c r="I49" s="114"/>
      <c r="J49" s="41">
        <f>H49+I49</f>
        <v>8000000</v>
      </c>
      <c r="K49" s="115">
        <f>J49</f>
        <v>8000000</v>
      </c>
      <c r="L49" s="72">
        <f>K49</f>
        <v>8000000</v>
      </c>
    </row>
    <row r="52" spans="1:12">
      <c r="A52" s="50" t="s">
        <v>93</v>
      </c>
    </row>
    <row r="53" spans="1:12">
      <c r="B53" s="17"/>
      <c r="C53" s="17"/>
      <c r="D53" s="17" t="s">
        <v>94</v>
      </c>
      <c r="E53" s="17"/>
      <c r="F53" s="17" t="s">
        <v>95</v>
      </c>
      <c r="J53" s="53" t="s">
        <v>42</v>
      </c>
      <c r="K53" s="53" t="s">
        <v>96</v>
      </c>
    </row>
    <row r="54" spans="1:12">
      <c r="B54" s="116" t="s">
        <v>97</v>
      </c>
      <c r="C54" s="55"/>
      <c r="D54" s="40">
        <v>2800000</v>
      </c>
      <c r="E54" s="117" t="s">
        <v>4</v>
      </c>
      <c r="F54" s="118">
        <v>15</v>
      </c>
      <c r="J54" s="119">
        <f>D54*F54</f>
        <v>42000000</v>
      </c>
      <c r="K54" s="120">
        <f>J54</f>
        <v>42000000</v>
      </c>
      <c r="L54" s="121">
        <f>K49</f>
        <v>8000000</v>
      </c>
    </row>
    <row r="55" spans="1:12">
      <c r="B55" s="122" t="s">
        <v>98</v>
      </c>
      <c r="C55" s="15"/>
      <c r="D55" s="15"/>
      <c r="E55" s="15"/>
      <c r="F55" s="15"/>
    </row>
    <row r="56" spans="1:12">
      <c r="B56" s="13" t="s">
        <v>99</v>
      </c>
      <c r="C56" s="15"/>
      <c r="D56" s="15"/>
      <c r="E56" s="55"/>
      <c r="F56" s="40">
        <v>3000000</v>
      </c>
      <c r="J56" s="78">
        <f>F56</f>
        <v>3000000</v>
      </c>
      <c r="K56" s="123">
        <f>SUM(J56:J59)</f>
        <v>7000000</v>
      </c>
    </row>
    <row r="57" spans="1:12">
      <c r="B57" s="13" t="s">
        <v>100</v>
      </c>
      <c r="C57" s="15"/>
      <c r="D57" s="15"/>
      <c r="E57" s="55"/>
      <c r="F57" s="40">
        <v>1000000</v>
      </c>
      <c r="J57" s="78">
        <f t="shared" ref="J57:J59" si="5">F57</f>
        <v>1000000</v>
      </c>
      <c r="K57" s="124"/>
    </row>
    <row r="58" spans="1:12">
      <c r="B58" s="13" t="s">
        <v>101</v>
      </c>
      <c r="C58" s="15"/>
      <c r="D58" s="15"/>
      <c r="E58" s="55"/>
      <c r="F58" s="40">
        <v>3000000</v>
      </c>
      <c r="J58" s="78">
        <f t="shared" si="5"/>
        <v>3000000</v>
      </c>
      <c r="K58" s="124"/>
    </row>
    <row r="59" spans="1:12">
      <c r="B59" s="13" t="s">
        <v>102</v>
      </c>
      <c r="C59" s="15"/>
      <c r="D59" s="15"/>
      <c r="E59" s="55"/>
      <c r="F59" s="40">
        <v>0</v>
      </c>
      <c r="J59" s="78">
        <f t="shared" si="5"/>
        <v>0</v>
      </c>
      <c r="K59" s="125"/>
      <c r="L59" s="121">
        <f>K54</f>
        <v>42000000</v>
      </c>
    </row>
    <row r="62" spans="1:12">
      <c r="A62" s="126" t="s">
        <v>103</v>
      </c>
      <c r="B62" s="127"/>
      <c r="C62" s="127"/>
      <c r="D62" s="127"/>
      <c r="E62" s="127"/>
      <c r="F62" s="127"/>
      <c r="G62" s="127"/>
      <c r="H62" s="127"/>
      <c r="I62" s="127"/>
      <c r="J62" s="127"/>
      <c r="K62" s="128">
        <f>SUM(L8:L59)</f>
        <v>96116375</v>
      </c>
    </row>
  </sheetData>
  <sheetProtection algorithmName="SHA-512" hashValue="FyFywoH5mOPrCoQ4tFw8lhbFCfTUaa8UumQvjH4c4+yMjxEM35EbJmkj+uXt/8vZdEXlMqyNmWrpYJGGY94ACg==" saltValue="0qaNs0Q7xhyYUoZpR4xbaA==" spinCount="100000" sheet="1" objects="1" scenarios="1"/>
  <mergeCells count="8">
    <mergeCell ref="H48:I48"/>
    <mergeCell ref="K56:K59"/>
    <mergeCell ref="K20:K22"/>
    <mergeCell ref="K31:K34"/>
    <mergeCell ref="H39:I39"/>
    <mergeCell ref="H40:I44"/>
    <mergeCell ref="J40:J44"/>
    <mergeCell ref="K40:K44"/>
  </mergeCells>
  <phoneticPr fontId="4"/>
  <dataValidations count="3">
    <dataValidation type="list" allowBlank="1" showInputMessage="1" showErrorMessage="1" sqref="D12" xr:uid="{509948D7-AC2D-4329-9D18-590462596C62}">
      <formula1>"1級,2級"</formula1>
    </dataValidation>
    <dataValidation type="list" allowBlank="1" showInputMessage="1" showErrorMessage="1" sqref="F40 C9 C22" xr:uid="{3B74B6F4-86B8-47A0-B426-7D3F3F7B99F4}">
      <formula1>"はい,いいえ"</formula1>
    </dataValidation>
    <dataValidation type="list" allowBlank="1" showInputMessage="1" showErrorMessage="1" sqref="C12:C14" xr:uid="{B23EF0AB-644E-4BEB-A6E2-72C963DCF1A5}">
      <formula1>"有,無"</formula1>
    </dataValidation>
  </dataValidations>
  <pageMargins left="0.7" right="0.7" top="0.75" bottom="0.75" header="0.3" footer="0.3"/>
  <pageSetup paperSize="9" scale="72" orientation="landscape" horizontalDpi="200" r:id="rId1"/>
  <rowBreaks count="1" manualBreakCount="1">
    <brk id="36"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09DC-B9F2-4D98-8E3A-FD3C047C8C65}">
  <dimension ref="A1:L88"/>
  <sheetViews>
    <sheetView view="pageBreakPreview" topLeftCell="A68" zoomScale="124" zoomScaleNormal="130" zoomScaleSheetLayoutView="130" workbookViewId="0">
      <selection sqref="A1:K1"/>
    </sheetView>
  </sheetViews>
  <sheetFormatPr defaultRowHeight="18.75"/>
  <cols>
    <col min="1" max="1" width="22.625" customWidth="1"/>
    <col min="2" max="2" width="21.875" customWidth="1"/>
    <col min="3" max="4" width="19.75" customWidth="1"/>
    <col min="5" max="5" width="17.375" customWidth="1"/>
    <col min="6" max="6" width="19.25" bestFit="1" customWidth="1"/>
    <col min="7" max="7" width="0.125" customWidth="1"/>
    <col min="10" max="10" width="13.25" customWidth="1"/>
    <col min="11" max="12" width="11.75" bestFit="1" customWidth="1"/>
  </cols>
  <sheetData>
    <row r="1" spans="1:4" ht="24">
      <c r="A1" s="129" t="s">
        <v>104</v>
      </c>
      <c r="B1" s="17"/>
      <c r="C1" s="17"/>
      <c r="D1" s="17"/>
    </row>
    <row r="2" spans="1:4" ht="33">
      <c r="A2" s="130" t="s">
        <v>105</v>
      </c>
      <c r="B2" s="130"/>
      <c r="C2" s="131" t="s">
        <v>106</v>
      </c>
      <c r="D2" s="132" t="s">
        <v>107</v>
      </c>
    </row>
    <row r="3" spans="1:4">
      <c r="A3" s="133" t="s">
        <v>108</v>
      </c>
      <c r="B3" s="55" t="s">
        <v>109</v>
      </c>
      <c r="C3" s="40">
        <v>100000</v>
      </c>
      <c r="D3" s="56">
        <f>C3*0.8</f>
        <v>80000</v>
      </c>
    </row>
    <row r="4" spans="1:4">
      <c r="A4" s="133" t="s">
        <v>110</v>
      </c>
      <c r="B4" s="55"/>
      <c r="C4" s="40">
        <v>30000</v>
      </c>
      <c r="D4" s="56">
        <f t="shared" ref="D4:D17" si="0">C4*0.8</f>
        <v>24000</v>
      </c>
    </row>
    <row r="5" spans="1:4">
      <c r="A5" s="133" t="s">
        <v>111</v>
      </c>
      <c r="B5" s="55"/>
      <c r="C5" s="40">
        <v>7000</v>
      </c>
      <c r="D5" s="56">
        <f t="shared" si="0"/>
        <v>5600</v>
      </c>
    </row>
    <row r="6" spans="1:4">
      <c r="A6" s="133" t="s">
        <v>112</v>
      </c>
      <c r="B6" s="55"/>
      <c r="C6" s="40">
        <v>3500</v>
      </c>
      <c r="D6" s="56">
        <f t="shared" si="0"/>
        <v>2800</v>
      </c>
    </row>
    <row r="7" spans="1:4">
      <c r="A7" s="133" t="s">
        <v>113</v>
      </c>
      <c r="B7" s="55"/>
      <c r="C7" s="40">
        <v>30000</v>
      </c>
      <c r="D7" s="56">
        <f t="shared" si="0"/>
        <v>24000</v>
      </c>
    </row>
    <row r="8" spans="1:4">
      <c r="A8" s="133" t="s">
        <v>114</v>
      </c>
      <c r="B8" s="55"/>
      <c r="C8" s="40">
        <v>10000</v>
      </c>
      <c r="D8" s="56">
        <f t="shared" si="0"/>
        <v>8000</v>
      </c>
    </row>
    <row r="9" spans="1:4">
      <c r="A9" s="133" t="s">
        <v>115</v>
      </c>
      <c r="B9" s="55" t="s">
        <v>116</v>
      </c>
      <c r="C9" s="40">
        <v>6000</v>
      </c>
      <c r="D9" s="56">
        <f t="shared" si="0"/>
        <v>4800</v>
      </c>
    </row>
    <row r="10" spans="1:4">
      <c r="A10" s="133" t="s">
        <v>117</v>
      </c>
      <c r="B10" s="55" t="s">
        <v>118</v>
      </c>
      <c r="C10" s="40">
        <v>10000</v>
      </c>
      <c r="D10" s="56">
        <f t="shared" si="0"/>
        <v>8000</v>
      </c>
    </row>
    <row r="11" spans="1:4">
      <c r="A11" s="133" t="s">
        <v>119</v>
      </c>
      <c r="B11" s="55"/>
      <c r="C11" s="40">
        <v>30000</v>
      </c>
      <c r="D11" s="56">
        <f t="shared" si="0"/>
        <v>24000</v>
      </c>
    </row>
    <row r="12" spans="1:4">
      <c r="A12" s="133" t="s">
        <v>120</v>
      </c>
      <c r="B12" s="55" t="s">
        <v>121</v>
      </c>
      <c r="C12" s="40">
        <v>5000</v>
      </c>
      <c r="D12" s="56">
        <f t="shared" si="0"/>
        <v>4000</v>
      </c>
    </row>
    <row r="13" spans="1:4">
      <c r="A13" s="133" t="s">
        <v>122</v>
      </c>
      <c r="B13" s="55" t="s">
        <v>123</v>
      </c>
      <c r="C13" s="40">
        <v>10000</v>
      </c>
      <c r="D13" s="56">
        <f t="shared" si="0"/>
        <v>8000</v>
      </c>
    </row>
    <row r="14" spans="1:4">
      <c r="A14" s="133" t="s">
        <v>124</v>
      </c>
      <c r="B14" s="55"/>
      <c r="C14" s="40">
        <v>30000</v>
      </c>
      <c r="D14" s="56">
        <f t="shared" si="0"/>
        <v>24000</v>
      </c>
    </row>
    <row r="15" spans="1:4">
      <c r="A15" s="133" t="s">
        <v>125</v>
      </c>
      <c r="B15" s="55" t="s">
        <v>126</v>
      </c>
      <c r="C15" s="40">
        <v>5000</v>
      </c>
      <c r="D15" s="56">
        <f t="shared" si="0"/>
        <v>4000</v>
      </c>
    </row>
    <row r="16" spans="1:4">
      <c r="A16" s="133" t="s">
        <v>127</v>
      </c>
      <c r="B16" s="55"/>
      <c r="C16" s="40">
        <v>30000</v>
      </c>
      <c r="D16" s="56">
        <f t="shared" si="0"/>
        <v>24000</v>
      </c>
    </row>
    <row r="17" spans="1:12">
      <c r="A17" s="133" t="s">
        <v>128</v>
      </c>
      <c r="B17" s="55"/>
      <c r="C17" s="40">
        <v>10000</v>
      </c>
      <c r="D17" s="56">
        <f t="shared" si="0"/>
        <v>8000</v>
      </c>
    </row>
    <row r="18" spans="1:12" ht="19.5">
      <c r="A18" s="134" t="s">
        <v>129</v>
      </c>
      <c r="B18" s="135"/>
      <c r="C18" s="136">
        <f>SUM(C3:C17)</f>
        <v>316500</v>
      </c>
      <c r="D18" s="137">
        <f>SUM(D3:D17)</f>
        <v>253200</v>
      </c>
    </row>
    <row r="21" spans="1:12" ht="24">
      <c r="A21" s="129" t="s">
        <v>130</v>
      </c>
      <c r="B21" s="17"/>
      <c r="C21" s="17"/>
      <c r="D21" s="17"/>
      <c r="E21" s="17"/>
    </row>
    <row r="22" spans="1:12">
      <c r="A22" s="138" t="s">
        <v>131</v>
      </c>
      <c r="B22" s="139">
        <v>55</v>
      </c>
      <c r="C22" s="140"/>
      <c r="D22" s="140"/>
    </row>
    <row r="23" spans="1:12">
      <c r="A23" s="138" t="s">
        <v>132</v>
      </c>
      <c r="B23" s="139">
        <v>20</v>
      </c>
      <c r="C23" s="140"/>
      <c r="D23" s="140"/>
    </row>
    <row r="24" spans="1:12" ht="24">
      <c r="A24" s="141" t="s">
        <v>133</v>
      </c>
      <c r="B24" s="142">
        <f>IF(B23&gt;22,0,22-B23)</f>
        <v>2</v>
      </c>
      <c r="C24" s="143">
        <f>D18</f>
        <v>253200</v>
      </c>
      <c r="D24" s="144">
        <v>0.7</v>
      </c>
      <c r="E24" s="145">
        <v>12</v>
      </c>
      <c r="F24" s="146">
        <f>B24*C24*D24*E24</f>
        <v>4253760</v>
      </c>
    </row>
    <row r="25" spans="1:12" ht="24">
      <c r="A25" s="141" t="s">
        <v>134</v>
      </c>
      <c r="B25" s="142">
        <f>IF(B22&gt;=65,0,IF((65-(B22+B24))&lt;0,0,65-(B22+B24)))</f>
        <v>8</v>
      </c>
      <c r="C25" s="143">
        <f>D18</f>
        <v>253200</v>
      </c>
      <c r="D25" s="144">
        <v>0.5</v>
      </c>
      <c r="E25" s="145">
        <v>12</v>
      </c>
      <c r="F25" s="146">
        <f>B25*C25*D25*E25</f>
        <v>12153600</v>
      </c>
    </row>
    <row r="26" spans="1:12" ht="24">
      <c r="A26" s="141" t="s">
        <v>135</v>
      </c>
      <c r="B26" s="142">
        <f>IF(B22&gt;66,IF((75-B22)&lt;0,0,75-B22),10)</f>
        <v>10</v>
      </c>
      <c r="C26" s="143">
        <f>D18</f>
        <v>253200</v>
      </c>
      <c r="D26" s="144">
        <v>0.5</v>
      </c>
      <c r="E26" s="145">
        <v>12</v>
      </c>
      <c r="F26" s="146">
        <f>B26*C26*D26*E26</f>
        <v>15192000</v>
      </c>
    </row>
    <row r="27" spans="1:12" ht="24">
      <c r="A27" s="141" t="s">
        <v>136</v>
      </c>
      <c r="B27" s="142">
        <f>IF(B22&gt;75,87-B22,87-75)</f>
        <v>12</v>
      </c>
      <c r="C27" s="143">
        <f>D18</f>
        <v>253200</v>
      </c>
      <c r="D27" s="144">
        <v>0.8</v>
      </c>
      <c r="E27" s="145">
        <v>12</v>
      </c>
      <c r="F27" s="146">
        <f>B27*C27*D27*E27</f>
        <v>29168640</v>
      </c>
    </row>
    <row r="28" spans="1:12" ht="24">
      <c r="D28" s="147"/>
      <c r="E28" s="147" t="s">
        <v>9</v>
      </c>
      <c r="F28" s="148">
        <f>SUM(F24:F27)</f>
        <v>60768000</v>
      </c>
      <c r="G28" s="121">
        <f>F28</f>
        <v>60768000</v>
      </c>
    </row>
    <row r="30" spans="1:12" ht="24">
      <c r="A30" s="129" t="s">
        <v>137</v>
      </c>
    </row>
    <row r="31" spans="1:12">
      <c r="A31" s="138" t="s">
        <v>138</v>
      </c>
      <c r="B31" s="138" t="s">
        <v>139</v>
      </c>
      <c r="C31" s="138" t="s">
        <v>140</v>
      </c>
      <c r="D31" s="138" t="s">
        <v>141</v>
      </c>
      <c r="E31" s="138" t="s">
        <v>142</v>
      </c>
      <c r="F31" s="138" t="s">
        <v>143</v>
      </c>
    </row>
    <row r="32" spans="1:12">
      <c r="A32" s="138" t="s">
        <v>144</v>
      </c>
      <c r="B32" s="149"/>
      <c r="C32" s="150">
        <v>0</v>
      </c>
      <c r="D32" s="150">
        <v>0</v>
      </c>
      <c r="E32" s="151">
        <v>0</v>
      </c>
      <c r="F32" s="150">
        <f>C32+D32*E32</f>
        <v>0</v>
      </c>
      <c r="J32" s="152"/>
      <c r="K32" s="152" t="s">
        <v>145</v>
      </c>
      <c r="L32" s="152" t="s">
        <v>146</v>
      </c>
    </row>
    <row r="33" spans="1:12">
      <c r="A33" s="138" t="s">
        <v>147</v>
      </c>
      <c r="B33" s="153" t="s">
        <v>148</v>
      </c>
      <c r="C33" s="150">
        <v>0</v>
      </c>
      <c r="D33" s="150">
        <f>IF(B33="公立",K33,L33)</f>
        <v>320000</v>
      </c>
      <c r="E33" s="151">
        <v>0</v>
      </c>
      <c r="F33" s="150">
        <f t="shared" ref="F33:F37" si="1">C33+D33*E33</f>
        <v>0</v>
      </c>
      <c r="J33" s="154" t="s">
        <v>147</v>
      </c>
      <c r="K33" s="155">
        <v>320000</v>
      </c>
      <c r="L33" s="155">
        <v>1600000</v>
      </c>
    </row>
    <row r="34" spans="1:12">
      <c r="A34" s="138" t="s">
        <v>149</v>
      </c>
      <c r="B34" s="153" t="s">
        <v>148</v>
      </c>
      <c r="C34" s="150">
        <v>0</v>
      </c>
      <c r="D34" s="150">
        <f>IF(B34="公立",K34,L34)</f>
        <v>490000</v>
      </c>
      <c r="E34" s="151">
        <v>0</v>
      </c>
      <c r="F34" s="150">
        <f t="shared" si="1"/>
        <v>0</v>
      </c>
      <c r="J34" s="154" t="s">
        <v>149</v>
      </c>
      <c r="K34" s="155">
        <v>490000</v>
      </c>
      <c r="L34" s="155">
        <v>1410000</v>
      </c>
    </row>
    <row r="35" spans="1:12">
      <c r="A35" s="138" t="s">
        <v>150</v>
      </c>
      <c r="B35" s="153" t="s">
        <v>148</v>
      </c>
      <c r="C35" s="150">
        <v>0</v>
      </c>
      <c r="D35" s="150">
        <f>IF(B35="公立",K35,L35)</f>
        <v>460000</v>
      </c>
      <c r="E35" s="151">
        <v>2</v>
      </c>
      <c r="F35" s="150">
        <f t="shared" si="1"/>
        <v>920000</v>
      </c>
      <c r="J35" s="154" t="s">
        <v>150</v>
      </c>
      <c r="K35" s="155">
        <v>460000</v>
      </c>
      <c r="L35" s="155">
        <v>970000</v>
      </c>
    </row>
    <row r="36" spans="1:12">
      <c r="A36" s="138" t="s">
        <v>151</v>
      </c>
      <c r="B36" s="153" t="s">
        <v>152</v>
      </c>
      <c r="C36" s="150">
        <f>IF(B36="国立",K37,IF(B36="私立文系",K38,IF(B36="私立理系",K39,K40)))</f>
        <v>280000</v>
      </c>
      <c r="D36" s="150">
        <f>IF(B36="国立",L37,IF(B36="私立文系",L38,IF(B36="私立理系",L39,L40)))</f>
        <v>540000</v>
      </c>
      <c r="E36" s="151">
        <v>4</v>
      </c>
      <c r="F36" s="150">
        <f t="shared" si="1"/>
        <v>2440000</v>
      </c>
      <c r="J36" s="154"/>
      <c r="K36" s="155" t="s">
        <v>153</v>
      </c>
      <c r="L36" s="155" t="s">
        <v>154</v>
      </c>
    </row>
    <row r="37" spans="1:12">
      <c r="A37" s="138" t="s">
        <v>128</v>
      </c>
      <c r="B37" s="153"/>
      <c r="C37" s="150">
        <f>IF(B37="専門学校等",K41,IF(B37="国立大学院",K42,(IF(B37="私立大学院",K43,0))))</f>
        <v>0</v>
      </c>
      <c r="D37" s="150">
        <f>IF(B37="専門学校等",L41,IF(B37="国立大学院",L42,(IF(B37="私立大学院",L43,0))))</f>
        <v>0</v>
      </c>
      <c r="E37" s="151">
        <v>4</v>
      </c>
      <c r="F37" s="150">
        <f t="shared" si="1"/>
        <v>0</v>
      </c>
      <c r="J37" s="154" t="s">
        <v>155</v>
      </c>
      <c r="K37" s="155">
        <v>280000</v>
      </c>
      <c r="L37" s="155">
        <v>540000</v>
      </c>
    </row>
    <row r="38" spans="1:12" ht="24">
      <c r="D38" s="147"/>
      <c r="E38" s="147" t="s">
        <v>9</v>
      </c>
      <c r="F38" s="148">
        <f>SUM(F32:F37)</f>
        <v>3360000</v>
      </c>
      <c r="G38" s="121">
        <f>F38</f>
        <v>3360000</v>
      </c>
      <c r="J38" s="154" t="s">
        <v>156</v>
      </c>
      <c r="K38" s="155">
        <v>230000</v>
      </c>
      <c r="L38" s="155">
        <v>940000</v>
      </c>
    </row>
    <row r="39" spans="1:12">
      <c r="J39" s="154" t="s">
        <v>157</v>
      </c>
      <c r="K39" s="155">
        <v>250000</v>
      </c>
      <c r="L39" s="155">
        <v>1290000</v>
      </c>
    </row>
    <row r="40" spans="1:12">
      <c r="B40" t="s">
        <v>158</v>
      </c>
      <c r="J40" s="154" t="s">
        <v>159</v>
      </c>
      <c r="K40" s="155">
        <v>1070000</v>
      </c>
      <c r="L40" s="155">
        <v>3750000</v>
      </c>
    </row>
    <row r="41" spans="1:12">
      <c r="B41" t="s">
        <v>160</v>
      </c>
      <c r="J41" s="152" t="s">
        <v>161</v>
      </c>
      <c r="K41" s="155">
        <v>260000</v>
      </c>
      <c r="L41" s="155">
        <v>1190000</v>
      </c>
    </row>
    <row r="42" spans="1:12">
      <c r="B42" t="s">
        <v>162</v>
      </c>
      <c r="J42" s="152" t="s">
        <v>163</v>
      </c>
      <c r="K42" s="155">
        <v>280000</v>
      </c>
      <c r="L42" s="155">
        <v>530000</v>
      </c>
    </row>
    <row r="43" spans="1:12">
      <c r="B43" t="s">
        <v>164</v>
      </c>
      <c r="J43" s="152" t="s">
        <v>165</v>
      </c>
      <c r="K43" s="155">
        <v>200000</v>
      </c>
      <c r="L43" s="155">
        <v>880000</v>
      </c>
    </row>
    <row r="44" spans="1:12">
      <c r="B44" t="s">
        <v>166</v>
      </c>
    </row>
    <row r="45" spans="1:12">
      <c r="B45" s="156" t="s">
        <v>167</v>
      </c>
    </row>
    <row r="47" spans="1:12" ht="24">
      <c r="A47" s="129" t="s">
        <v>168</v>
      </c>
    </row>
    <row r="49" spans="1:7">
      <c r="C49" s="116" t="s">
        <v>133</v>
      </c>
      <c r="D49" s="116" t="s">
        <v>134</v>
      </c>
      <c r="E49" s="116" t="s">
        <v>169</v>
      </c>
      <c r="F49" s="138" t="s">
        <v>143</v>
      </c>
    </row>
    <row r="50" spans="1:7">
      <c r="A50" s="157" t="s">
        <v>170</v>
      </c>
      <c r="B50" s="112"/>
      <c r="C50" s="158">
        <v>1200000</v>
      </c>
      <c r="D50" s="158">
        <v>1000000</v>
      </c>
      <c r="E50" s="158">
        <v>840000</v>
      </c>
      <c r="F50" s="39"/>
    </row>
    <row r="51" spans="1:7">
      <c r="A51" s="157" t="s">
        <v>171</v>
      </c>
      <c r="B51" s="112"/>
      <c r="C51" s="158">
        <v>100000</v>
      </c>
      <c r="D51" s="158">
        <v>100000</v>
      </c>
      <c r="E51" s="158">
        <v>100000</v>
      </c>
      <c r="F51" s="39"/>
    </row>
    <row r="52" spans="1:7">
      <c r="A52" s="157" t="s">
        <v>172</v>
      </c>
      <c r="B52" s="112"/>
      <c r="C52" s="158">
        <v>0</v>
      </c>
      <c r="D52" s="158">
        <v>0</v>
      </c>
      <c r="E52" s="158">
        <v>0</v>
      </c>
      <c r="F52" s="39"/>
    </row>
    <row r="53" spans="1:7">
      <c r="A53" s="157" t="s">
        <v>143</v>
      </c>
      <c r="B53" s="112"/>
      <c r="C53" s="159">
        <f>SUM(C50:C52)</f>
        <v>1300000</v>
      </c>
      <c r="D53" s="159">
        <f t="shared" ref="D53:E53" si="2">SUM(D50:D52)</f>
        <v>1100000</v>
      </c>
      <c r="E53" s="159">
        <f t="shared" si="2"/>
        <v>940000</v>
      </c>
      <c r="F53" s="39"/>
    </row>
    <row r="54" spans="1:7">
      <c r="A54" s="141" t="s">
        <v>133</v>
      </c>
      <c r="B54" s="142">
        <f>IF(B23&gt;22,0,22-B23)</f>
        <v>2</v>
      </c>
      <c r="C54" s="159">
        <f>B54*C53</f>
        <v>2600000</v>
      </c>
      <c r="D54" s="160"/>
      <c r="E54" s="160"/>
      <c r="F54" s="161">
        <f>SUM(C54:E54)</f>
        <v>2600000</v>
      </c>
    </row>
    <row r="55" spans="1:7">
      <c r="A55" s="141" t="s">
        <v>134</v>
      </c>
      <c r="B55" s="142">
        <f>IF(B22&gt;=65,0,65-(B22+B24))</f>
        <v>8</v>
      </c>
      <c r="C55" s="160"/>
      <c r="D55" s="159">
        <f>B55*D53</f>
        <v>8800000</v>
      </c>
      <c r="E55" s="160"/>
      <c r="F55" s="161">
        <f t="shared" ref="F55:F56" si="3">SUM(C55:E55)</f>
        <v>8800000</v>
      </c>
    </row>
    <row r="56" spans="1:7">
      <c r="A56" s="141" t="s">
        <v>169</v>
      </c>
      <c r="B56" s="142">
        <f>IF(B22&gt;65,B22-65,87-65)</f>
        <v>22</v>
      </c>
      <c r="C56" s="160"/>
      <c r="D56" s="160"/>
      <c r="E56" s="159">
        <f>B56*E53</f>
        <v>20680000</v>
      </c>
      <c r="F56" s="161">
        <f t="shared" si="3"/>
        <v>20680000</v>
      </c>
    </row>
    <row r="57" spans="1:7" ht="24">
      <c r="E57" s="147" t="s">
        <v>9</v>
      </c>
      <c r="F57" s="148">
        <f>SUM(F54:F56)</f>
        <v>32080000</v>
      </c>
      <c r="G57" s="121">
        <f>F57</f>
        <v>32080000</v>
      </c>
    </row>
    <row r="60" spans="1:7" ht="24">
      <c r="A60" s="129" t="s">
        <v>173</v>
      </c>
    </row>
    <row r="61" spans="1:7">
      <c r="A61" s="39"/>
      <c r="B61" s="39"/>
      <c r="C61" s="138" t="s">
        <v>174</v>
      </c>
      <c r="D61" s="138" t="s">
        <v>175</v>
      </c>
      <c r="E61" s="138" t="s">
        <v>176</v>
      </c>
      <c r="F61" s="138" t="s">
        <v>143</v>
      </c>
    </row>
    <row r="62" spans="1:7">
      <c r="A62" s="58" t="s">
        <v>177</v>
      </c>
      <c r="B62" s="3" t="s">
        <v>178</v>
      </c>
      <c r="C62" s="56">
        <v>50000</v>
      </c>
      <c r="D62" s="54"/>
      <c r="E62" s="162">
        <f>C62+D62</f>
        <v>50000</v>
      </c>
      <c r="F62" s="163">
        <f>SUM(E62:E65)</f>
        <v>245000</v>
      </c>
    </row>
    <row r="63" spans="1:7">
      <c r="A63" s="164"/>
      <c r="B63" s="3" t="s">
        <v>179</v>
      </c>
      <c r="C63" s="56">
        <v>140000</v>
      </c>
      <c r="D63" s="54"/>
      <c r="E63" s="162">
        <f t="shared" ref="E63:E77" si="4">C63+D63</f>
        <v>140000</v>
      </c>
      <c r="F63" s="165"/>
    </row>
    <row r="64" spans="1:7">
      <c r="A64" s="164"/>
      <c r="B64" s="3" t="s">
        <v>180</v>
      </c>
      <c r="C64" s="56">
        <v>30000</v>
      </c>
      <c r="D64" s="54"/>
      <c r="E64" s="162">
        <f t="shared" si="4"/>
        <v>30000</v>
      </c>
      <c r="F64" s="165"/>
    </row>
    <row r="65" spans="1:7">
      <c r="A65" s="166"/>
      <c r="B65" s="3" t="s">
        <v>181</v>
      </c>
      <c r="C65" s="56">
        <v>25000</v>
      </c>
      <c r="D65" s="54"/>
      <c r="E65" s="162">
        <f t="shared" si="4"/>
        <v>25000</v>
      </c>
      <c r="F65" s="165"/>
    </row>
    <row r="66" spans="1:7">
      <c r="A66" s="58" t="s">
        <v>182</v>
      </c>
      <c r="B66" s="3" t="s">
        <v>178</v>
      </c>
      <c r="C66" s="56">
        <v>50000</v>
      </c>
      <c r="D66" s="54"/>
      <c r="E66" s="162">
        <f t="shared" si="4"/>
        <v>50000</v>
      </c>
      <c r="F66" s="163">
        <f>SUM(E66:E68)</f>
        <v>235000</v>
      </c>
    </row>
    <row r="67" spans="1:7">
      <c r="A67" s="164"/>
      <c r="B67" s="3" t="s">
        <v>183</v>
      </c>
      <c r="C67" s="56">
        <v>5000</v>
      </c>
      <c r="D67" s="54"/>
      <c r="E67" s="162">
        <f t="shared" si="4"/>
        <v>5000</v>
      </c>
      <c r="F67" s="165"/>
    </row>
    <row r="68" spans="1:7">
      <c r="A68" s="166"/>
      <c r="B68" s="3" t="s">
        <v>184</v>
      </c>
      <c r="C68" s="56">
        <v>180000</v>
      </c>
      <c r="D68" s="54"/>
      <c r="E68" s="162">
        <f t="shared" si="4"/>
        <v>180000</v>
      </c>
      <c r="F68" s="165"/>
    </row>
    <row r="69" spans="1:7">
      <c r="A69" s="58" t="s">
        <v>185</v>
      </c>
      <c r="B69" s="3" t="s">
        <v>186</v>
      </c>
      <c r="C69" s="56">
        <v>30000</v>
      </c>
      <c r="D69" s="54"/>
      <c r="E69" s="162">
        <f t="shared" si="4"/>
        <v>30000</v>
      </c>
      <c r="F69" s="163">
        <f>SUM(E69:E72)</f>
        <v>1879000</v>
      </c>
    </row>
    <row r="70" spans="1:7">
      <c r="A70" s="164"/>
      <c r="B70" s="3" t="s">
        <v>187</v>
      </c>
      <c r="C70" s="56">
        <v>80000</v>
      </c>
      <c r="D70" s="54"/>
      <c r="E70" s="162">
        <f t="shared" si="4"/>
        <v>80000</v>
      </c>
      <c r="F70" s="165"/>
    </row>
    <row r="71" spans="1:7">
      <c r="A71" s="164"/>
      <c r="B71" s="3" t="s">
        <v>178</v>
      </c>
      <c r="C71" s="56">
        <v>300000</v>
      </c>
      <c r="D71" s="54"/>
      <c r="E71" s="162">
        <f t="shared" si="4"/>
        <v>300000</v>
      </c>
      <c r="F71" s="165"/>
    </row>
    <row r="72" spans="1:7">
      <c r="A72" s="166"/>
      <c r="B72" s="3" t="s">
        <v>188</v>
      </c>
      <c r="C72" s="56">
        <v>1469000</v>
      </c>
      <c r="D72" s="54"/>
      <c r="E72" s="162">
        <f t="shared" si="4"/>
        <v>1469000</v>
      </c>
      <c r="F72" s="165"/>
    </row>
    <row r="73" spans="1:7">
      <c r="A73" s="58" t="s">
        <v>189</v>
      </c>
      <c r="B73" s="3" t="s">
        <v>178</v>
      </c>
      <c r="C73" s="56">
        <v>50000</v>
      </c>
      <c r="D73" s="54"/>
      <c r="E73" s="162">
        <f t="shared" si="4"/>
        <v>50000</v>
      </c>
      <c r="F73" s="163">
        <f>SUM(E73:E75)</f>
        <v>261000</v>
      </c>
    </row>
    <row r="74" spans="1:7">
      <c r="A74" s="164"/>
      <c r="B74" s="3" t="s">
        <v>190</v>
      </c>
      <c r="C74" s="56">
        <v>5000</v>
      </c>
      <c r="D74" s="54"/>
      <c r="E74" s="162">
        <f t="shared" si="4"/>
        <v>5000</v>
      </c>
      <c r="F74" s="165"/>
    </row>
    <row r="75" spans="1:7">
      <c r="A75" s="166"/>
      <c r="B75" s="3" t="s">
        <v>184</v>
      </c>
      <c r="C75" s="56">
        <v>206000</v>
      </c>
      <c r="D75" s="54"/>
      <c r="E75" s="162">
        <f t="shared" si="4"/>
        <v>206000</v>
      </c>
      <c r="F75" s="165"/>
    </row>
    <row r="76" spans="1:7">
      <c r="A76" s="53" t="s">
        <v>191</v>
      </c>
      <c r="B76" s="3"/>
      <c r="C76" s="56">
        <v>-1251000</v>
      </c>
      <c r="D76" s="54"/>
      <c r="E76" s="162">
        <f t="shared" si="4"/>
        <v>-1251000</v>
      </c>
      <c r="F76" s="162">
        <f>E76</f>
        <v>-1251000</v>
      </c>
    </row>
    <row r="77" spans="1:7">
      <c r="A77" s="53" t="s">
        <v>192</v>
      </c>
      <c r="B77" s="3"/>
      <c r="C77" s="56">
        <v>514000</v>
      </c>
      <c r="D77" s="54"/>
      <c r="E77" s="162">
        <f t="shared" si="4"/>
        <v>514000</v>
      </c>
      <c r="F77" s="162">
        <f>E77</f>
        <v>514000</v>
      </c>
    </row>
    <row r="78" spans="1:7" ht="24">
      <c r="E78" s="147" t="s">
        <v>9</v>
      </c>
      <c r="F78" s="148">
        <f>SUM(F62:F77)</f>
        <v>1883000</v>
      </c>
      <c r="G78" s="121">
        <f>F78</f>
        <v>1883000</v>
      </c>
    </row>
    <row r="82" spans="1:7">
      <c r="A82" s="167" t="s">
        <v>193</v>
      </c>
      <c r="B82" s="168"/>
      <c r="C82" s="168"/>
      <c r="D82" s="168"/>
      <c r="E82" s="168"/>
      <c r="F82" s="169">
        <f>SUM(G28:G78)</f>
        <v>98091000</v>
      </c>
    </row>
    <row r="86" spans="1:7" ht="24.75" customHeight="1">
      <c r="A86" s="170" t="s">
        <v>103</v>
      </c>
      <c r="B86" s="127"/>
      <c r="C86" s="127"/>
      <c r="D86" s="127"/>
      <c r="E86" s="127"/>
      <c r="F86" s="171">
        <f>①一生分収入!K62</f>
        <v>96116375</v>
      </c>
      <c r="G86" s="127"/>
    </row>
    <row r="87" spans="1:7" ht="24.75" customHeight="1">
      <c r="A87" s="172" t="s">
        <v>193</v>
      </c>
      <c r="B87" s="168"/>
      <c r="C87" s="168"/>
      <c r="D87" s="168"/>
      <c r="E87" s="168"/>
      <c r="F87" s="173">
        <f>F82</f>
        <v>98091000</v>
      </c>
    </row>
    <row r="88" spans="1:7" ht="24.75" customHeight="1">
      <c r="A88" s="174" t="s">
        <v>194</v>
      </c>
      <c r="B88" s="175"/>
      <c r="C88" s="175"/>
      <c r="D88" s="175"/>
      <c r="E88" s="175"/>
      <c r="F88" s="176">
        <f>IF((F86-F87)&lt;0,F86-F87,0)</f>
        <v>-1974625</v>
      </c>
    </row>
  </sheetData>
  <sheetProtection algorithmName="SHA-512" hashValue="X9dL6l1E2cFXOAegxd9M2GwS1KhlOB3w8c2R3fgyHvLPd8yEcweOQOQhve0ASH5A9zhj6C14isH3S3/QvM8wiQ==" saltValue="bbNQVdexlyM+02TF3lyLIQ==" spinCount="100000" sheet="1" objects="1" scenarios="1"/>
  <mergeCells count="5">
    <mergeCell ref="A2:B2"/>
    <mergeCell ref="F62:F65"/>
    <mergeCell ref="F66:F68"/>
    <mergeCell ref="F69:F72"/>
    <mergeCell ref="F73:F75"/>
  </mergeCells>
  <phoneticPr fontId="4"/>
  <dataValidations count="3">
    <dataValidation type="list" allowBlank="1" showInputMessage="1" showErrorMessage="1" sqref="B37" xr:uid="{EFD4E423-5F93-4054-858E-DD7B6230E68A}">
      <formula1>",専門学校等,国立大学院,私立大学院"</formula1>
    </dataValidation>
    <dataValidation type="list" allowBlank="1" showInputMessage="1" showErrorMessage="1" sqref="B36" xr:uid="{4A2BF76E-78BD-47A6-A1EA-0829FF11903E}">
      <formula1>"国立,私立文系,私立理系,私立医系"</formula1>
    </dataValidation>
    <dataValidation type="list" allowBlank="1" showInputMessage="1" showErrorMessage="1" sqref="B33:B35" xr:uid="{C8440BC1-19B2-4619-83E3-C068DB466B85}">
      <formula1>"公立,私立"</formula1>
    </dataValidation>
  </dataValidations>
  <pageMargins left="0.7" right="0.7" top="0.75" bottom="0.75" header="0.3" footer="0.3"/>
  <pageSetup paperSize="9" orientation="landscape" horizontalDpi="200" r:id="rId1"/>
  <rowBreaks count="2" manualBreakCount="2">
    <brk id="20" max="16383" man="1"/>
    <brk id="5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188E-1B68-4655-8A85-8C9D609B4483}">
  <dimension ref="A1:C33"/>
  <sheetViews>
    <sheetView view="pageBreakPreview" zoomScaleNormal="130" zoomScaleSheetLayoutView="100" workbookViewId="0">
      <selection activeCell="B15" sqref="B15"/>
    </sheetView>
  </sheetViews>
  <sheetFormatPr defaultRowHeight="18.75"/>
  <cols>
    <col min="1" max="1" width="46.75" customWidth="1"/>
    <col min="2" max="2" width="21.875" customWidth="1"/>
    <col min="3" max="3" width="11.25" customWidth="1"/>
  </cols>
  <sheetData>
    <row r="1" spans="1:3" ht="33.75">
      <c r="A1" s="177" t="s">
        <v>195</v>
      </c>
      <c r="B1" s="177"/>
      <c r="C1" s="177"/>
    </row>
    <row r="2" spans="1:3" ht="36" customHeight="1">
      <c r="A2" s="178" t="s">
        <v>196</v>
      </c>
      <c r="B2" s="179"/>
      <c r="C2" s="179"/>
    </row>
    <row r="3" spans="1:3">
      <c r="A3" s="53" t="s">
        <v>197</v>
      </c>
      <c r="B3" s="180">
        <f>①一生分収入!K14</f>
        <v>2182200</v>
      </c>
    </row>
    <row r="4" spans="1:3">
      <c r="A4" s="53" t="s">
        <v>198</v>
      </c>
      <c r="B4" s="180">
        <f>①一生分収入!H20+①一生分収入!H21+①一生分収入!H22</f>
        <v>6000000</v>
      </c>
    </row>
    <row r="5" spans="1:3">
      <c r="A5" s="53" t="s">
        <v>199</v>
      </c>
      <c r="B5" s="180">
        <f>①一生分収入!K40</f>
        <v>5083800</v>
      </c>
    </row>
    <row r="6" spans="1:3">
      <c r="A6" s="53" t="s">
        <v>200</v>
      </c>
      <c r="B6" s="181">
        <f>①一生分収入!K54</f>
        <v>42000000</v>
      </c>
    </row>
    <row r="7" spans="1:3">
      <c r="A7" s="182" t="s">
        <v>201</v>
      </c>
      <c r="B7" s="183">
        <f>SUM(B3:B6)</f>
        <v>55266000</v>
      </c>
      <c r="C7" t="s">
        <v>202</v>
      </c>
    </row>
    <row r="9" spans="1:3">
      <c r="A9" s="53" t="s">
        <v>203</v>
      </c>
      <c r="B9" s="181">
        <f>②家族が必要なお金生活費!F24+②家族が必要なお金生活費!F25</f>
        <v>16407360</v>
      </c>
    </row>
    <row r="10" spans="1:3">
      <c r="A10" s="53" t="s">
        <v>204</v>
      </c>
      <c r="B10" s="180">
        <f>②家族が必要なお金生活費!C53+②家族が必要なお金生活費!D53</f>
        <v>2400000</v>
      </c>
    </row>
    <row r="11" spans="1:3">
      <c r="A11" s="184" t="s">
        <v>205</v>
      </c>
      <c r="B11" s="185">
        <f>SUM(B9:B10)</f>
        <v>18807360</v>
      </c>
      <c r="C11" t="s">
        <v>206</v>
      </c>
    </row>
    <row r="13" spans="1:3">
      <c r="A13" s="186" t="s">
        <v>207</v>
      </c>
      <c r="B13" s="187">
        <f>B7-B11</f>
        <v>36458640</v>
      </c>
      <c r="C13" t="s">
        <v>208</v>
      </c>
    </row>
    <row r="14" spans="1:3">
      <c r="A14" s="77" t="s">
        <v>209</v>
      </c>
      <c r="B14" s="188">
        <v>10</v>
      </c>
      <c r="C14" t="s">
        <v>210</v>
      </c>
    </row>
    <row r="15" spans="1:3">
      <c r="A15" s="189" t="s">
        <v>211</v>
      </c>
      <c r="B15" s="190">
        <f>B13/B14</f>
        <v>3645864</v>
      </c>
      <c r="C15" t="s">
        <v>212</v>
      </c>
    </row>
    <row r="16" spans="1:3" ht="9.75" customHeight="1"/>
    <row r="17" spans="1:3" ht="36" customHeight="1">
      <c r="A17" s="178" t="s">
        <v>213</v>
      </c>
      <c r="B17" s="179"/>
      <c r="C17" s="179"/>
    </row>
    <row r="18" spans="1:3" ht="27" customHeight="1">
      <c r="A18" s="53" t="s">
        <v>214</v>
      </c>
      <c r="B18" s="162">
        <f>①一生分収入!F56</f>
        <v>3000000</v>
      </c>
    </row>
    <row r="19" spans="1:3" ht="27" customHeight="1">
      <c r="A19" s="53" t="s">
        <v>215</v>
      </c>
      <c r="B19" s="162">
        <f>①一生分収入!F58</f>
        <v>3000000</v>
      </c>
    </row>
    <row r="20" spans="1:3" ht="27" customHeight="1">
      <c r="A20" s="53" t="s">
        <v>216</v>
      </c>
      <c r="B20" s="162">
        <f>①一生分収入!F59</f>
        <v>0</v>
      </c>
    </row>
    <row r="21" spans="1:3">
      <c r="A21" s="182" t="s">
        <v>201</v>
      </c>
      <c r="B21" s="183">
        <f>B18+B19</f>
        <v>6000000</v>
      </c>
      <c r="C21" t="s">
        <v>202</v>
      </c>
    </row>
    <row r="22" spans="1:3">
      <c r="A22" s="17"/>
      <c r="B22" s="17"/>
    </row>
    <row r="23" spans="1:3">
      <c r="A23" s="191" t="s">
        <v>217</v>
      </c>
      <c r="B23" s="192">
        <f>②家族が必要なお金生活費!F38</f>
        <v>3360000</v>
      </c>
      <c r="C23" t="s">
        <v>206</v>
      </c>
    </row>
    <row r="25" spans="1:3">
      <c r="A25" s="186" t="s">
        <v>218</v>
      </c>
      <c r="B25" s="193">
        <f>B21-B23</f>
        <v>2640000</v>
      </c>
      <c r="C25" t="s">
        <v>208</v>
      </c>
    </row>
    <row r="26" spans="1:3">
      <c r="A26" s="194" t="s">
        <v>219</v>
      </c>
    </row>
    <row r="27" spans="1:3" ht="9.75" customHeight="1">
      <c r="A27" s="194"/>
    </row>
    <row r="28" spans="1:3" ht="36" customHeight="1">
      <c r="A28" s="178" t="s">
        <v>220</v>
      </c>
      <c r="B28" s="179"/>
      <c r="C28" s="179"/>
    </row>
    <row r="29" spans="1:3" ht="30" customHeight="1">
      <c r="A29" s="53" t="s">
        <v>221</v>
      </c>
      <c r="B29" s="181">
        <f>-②家族が必要なお金生活費!F88</f>
        <v>1974625</v>
      </c>
      <c r="C29" t="s">
        <v>202</v>
      </c>
    </row>
    <row r="30" spans="1:3" ht="30" customHeight="1">
      <c r="A30" s="53" t="s">
        <v>222</v>
      </c>
      <c r="B30" s="180">
        <f>IF(B13&gt;0,0,-B13)</f>
        <v>0</v>
      </c>
      <c r="C30" t="s">
        <v>206</v>
      </c>
    </row>
    <row r="31" spans="1:3" ht="30" customHeight="1">
      <c r="A31" s="53" t="s">
        <v>223</v>
      </c>
      <c r="B31" s="181">
        <f>IF(B25&gt;0,0,-B25)</f>
        <v>0</v>
      </c>
      <c r="C31" t="s">
        <v>210</v>
      </c>
    </row>
    <row r="32" spans="1:3" ht="33.75" customHeight="1">
      <c r="A32" s="195" t="s">
        <v>224</v>
      </c>
      <c r="B32" s="196">
        <f>IF((B29-B30-B31)&lt;0,0,(B29-B30-B31))</f>
        <v>1974625</v>
      </c>
      <c r="C32" t="s">
        <v>225</v>
      </c>
    </row>
    <row r="33" spans="1:1">
      <c r="A33" s="194" t="s">
        <v>226</v>
      </c>
    </row>
  </sheetData>
  <sheetProtection algorithmName="SHA-512" hashValue="BK42u6ls8g+qjKN3kUw9nF2VtxTkiln7Yf+VBaKOZeOPYYMxnG9Spr6ZsTYAISs/m/RUiXTVTa/+XF6c0G8N3w==" saltValue="SKMM75e7Aht9hZCBm79WMw==" spinCount="100000" sheet="1" objects="1" scenarios="1"/>
  <mergeCells count="1">
    <mergeCell ref="A1:C1"/>
  </mergeCells>
  <phoneticPr fontId="4"/>
  <pageMargins left="0.70866141732283472" right="0.70866141732283472" top="0.74803149606299213" bottom="0.74803149606299213" header="0.31496062992125984" footer="0.31496062992125984"/>
  <pageSetup paperSize="9" orientation="portrait" horizontalDpi="200" r:id="rId1"/>
  <headerFooter>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106D-A4B3-4111-B1D6-3D8B845288E9}">
  <dimension ref="A1:F29"/>
  <sheetViews>
    <sheetView topLeftCell="A9" workbookViewId="0">
      <selection activeCell="E27" sqref="E27"/>
    </sheetView>
  </sheetViews>
  <sheetFormatPr defaultRowHeight="18.75"/>
  <cols>
    <col min="1" max="1" width="31.375" customWidth="1"/>
    <col min="2" max="2" width="14.25" customWidth="1"/>
    <col min="3" max="3" width="8.25" customWidth="1"/>
    <col min="4" max="4" width="23" customWidth="1"/>
    <col min="5" max="5" width="15.75" customWidth="1"/>
    <col min="11" max="11" width="5.25" customWidth="1"/>
    <col min="13" max="13" width="9.125" customWidth="1"/>
  </cols>
  <sheetData>
    <row r="1" spans="1:6" ht="28.5">
      <c r="A1" s="1" t="s">
        <v>0</v>
      </c>
      <c r="B1" s="1"/>
      <c r="C1" s="1"/>
      <c r="D1" s="1"/>
      <c r="E1" s="1"/>
    </row>
    <row r="2" spans="1:6" ht="21">
      <c r="A2" s="2" t="s">
        <v>1</v>
      </c>
      <c r="B2" s="2"/>
      <c r="C2" s="2"/>
      <c r="D2" s="2"/>
      <c r="E2" s="2"/>
    </row>
    <row r="3" spans="1:6">
      <c r="A3" s="3" t="s">
        <v>2</v>
      </c>
      <c r="B3" s="4">
        <v>2600000</v>
      </c>
      <c r="C3" s="4"/>
      <c r="D3" s="4"/>
      <c r="E3" s="4"/>
    </row>
    <row r="4" spans="1:6">
      <c r="A4" s="3" t="s">
        <v>3</v>
      </c>
      <c r="B4" s="5">
        <v>34500</v>
      </c>
      <c r="C4" s="6" t="s">
        <v>4</v>
      </c>
      <c r="D4" s="7">
        <v>6</v>
      </c>
      <c r="E4" s="8">
        <f>B4*D4</f>
        <v>207000</v>
      </c>
    </row>
    <row r="5" spans="1:6">
      <c r="A5" s="3" t="s">
        <v>5</v>
      </c>
      <c r="B5" s="5">
        <v>120000</v>
      </c>
      <c r="C5" s="6" t="s">
        <v>4</v>
      </c>
      <c r="D5" s="9">
        <v>3</v>
      </c>
      <c r="E5" s="10">
        <f>B5*D5</f>
        <v>360000</v>
      </c>
    </row>
    <row r="6" spans="1:6">
      <c r="A6" s="3" t="s">
        <v>6</v>
      </c>
      <c r="B6" s="5">
        <v>5000</v>
      </c>
      <c r="C6" s="11">
        <v>12</v>
      </c>
      <c r="D6" s="7">
        <v>6</v>
      </c>
      <c r="E6" s="10">
        <f>B6*C6*D6</f>
        <v>360000</v>
      </c>
    </row>
    <row r="7" spans="1:6">
      <c r="A7" s="3" t="s">
        <v>7</v>
      </c>
      <c r="B7" s="5">
        <v>5000</v>
      </c>
      <c r="C7" s="11">
        <v>12</v>
      </c>
      <c r="D7" s="7">
        <v>6</v>
      </c>
      <c r="E7" s="10">
        <f t="shared" ref="E7" si="0">B7*C7*D7</f>
        <v>360000</v>
      </c>
    </row>
    <row r="8" spans="1:6">
      <c r="A8" s="3" t="s">
        <v>8</v>
      </c>
      <c r="B8" s="5">
        <v>21000</v>
      </c>
      <c r="C8" s="6" t="s">
        <v>4</v>
      </c>
      <c r="D8" s="7">
        <v>6</v>
      </c>
      <c r="E8" s="10">
        <f>B8*D8</f>
        <v>126000</v>
      </c>
    </row>
    <row r="9" spans="1:6">
      <c r="A9" s="3" t="s">
        <v>9</v>
      </c>
      <c r="B9" s="13"/>
      <c r="C9" s="14"/>
      <c r="D9" s="15"/>
      <c r="E9" s="16">
        <f>SUM(E4:E8)+B3</f>
        <v>4013000</v>
      </c>
      <c r="F9" t="s">
        <v>10</v>
      </c>
    </row>
    <row r="10" spans="1:6">
      <c r="A10" s="17"/>
      <c r="B10" s="17"/>
      <c r="C10" s="18"/>
      <c r="D10" s="17"/>
      <c r="E10" s="17"/>
    </row>
    <row r="11" spans="1:6">
      <c r="B11" s="17"/>
      <c r="C11" s="18"/>
      <c r="D11" s="17"/>
      <c r="E11" s="17"/>
    </row>
    <row r="12" spans="1:6">
      <c r="A12" s="19" t="s">
        <v>11</v>
      </c>
      <c r="B12" s="20" t="s">
        <v>12</v>
      </c>
      <c r="C12" s="21">
        <v>6</v>
      </c>
      <c r="D12" s="22" t="s">
        <v>13</v>
      </c>
      <c r="E12" s="23">
        <f>B13*6*12*D13</f>
        <v>5400000</v>
      </c>
    </row>
    <row r="13" spans="1:6">
      <c r="A13" s="24"/>
      <c r="B13" s="25">
        <v>15</v>
      </c>
      <c r="C13" s="26"/>
      <c r="D13" s="27">
        <v>5000</v>
      </c>
      <c r="E13" s="28"/>
      <c r="F13" t="s">
        <v>14</v>
      </c>
    </row>
    <row r="14" spans="1:6">
      <c r="C14" s="29"/>
    </row>
    <row r="15" spans="1:6" ht="19.5">
      <c r="D15" s="30" t="s">
        <v>15</v>
      </c>
      <c r="E15" s="31" t="str">
        <f>IF(E12&lt;=E9,"タクシーがお得","自動車がお得")</f>
        <v>自動車がお得</v>
      </c>
    </row>
    <row r="16" spans="1:6" ht="20.25" thickBot="1">
      <c r="A16" s="32"/>
      <c r="B16" s="32"/>
      <c r="C16" s="32"/>
      <c r="D16" s="33"/>
      <c r="E16" s="34"/>
    </row>
    <row r="17" spans="1:6">
      <c r="A17" s="35"/>
      <c r="B17" s="35"/>
      <c r="C17" s="35"/>
      <c r="D17" s="35"/>
      <c r="E17" s="35"/>
    </row>
    <row r="18" spans="1:6" ht="24">
      <c r="A18" s="36" t="s">
        <v>16</v>
      </c>
      <c r="B18" s="36"/>
      <c r="C18" s="36"/>
      <c r="D18" s="36"/>
      <c r="E18" s="36"/>
    </row>
    <row r="19" spans="1:6" ht="21">
      <c r="A19" s="37" t="s">
        <v>17</v>
      </c>
      <c r="B19" s="37"/>
      <c r="C19" s="38"/>
      <c r="D19" s="37" t="s">
        <v>18</v>
      </c>
      <c r="E19" s="37"/>
    </row>
    <row r="20" spans="1:6">
      <c r="A20" s="39" t="s">
        <v>19</v>
      </c>
      <c r="B20" s="40">
        <v>7000000</v>
      </c>
      <c r="D20" s="39" t="s">
        <v>20</v>
      </c>
      <c r="E20" s="40">
        <v>8500000</v>
      </c>
    </row>
    <row r="21" spans="1:6">
      <c r="A21" s="39" t="s">
        <v>21</v>
      </c>
      <c r="B21" s="41">
        <f>B20*C21</f>
        <v>2100000</v>
      </c>
      <c r="C21" s="42">
        <v>0.3</v>
      </c>
      <c r="D21" s="39" t="s">
        <v>22</v>
      </c>
      <c r="E21" s="41">
        <f>E20*0.1</f>
        <v>850000</v>
      </c>
    </row>
    <row r="22" spans="1:6">
      <c r="A22" s="39" t="s">
        <v>23</v>
      </c>
      <c r="B22" s="41">
        <f>B20*5</f>
        <v>35000000</v>
      </c>
      <c r="D22" s="43" t="s">
        <v>24</v>
      </c>
      <c r="E22" s="44">
        <f>E20*3</f>
        <v>25500000</v>
      </c>
      <c r="F22" t="s">
        <v>25</v>
      </c>
    </row>
    <row r="24" spans="1:6" ht="24">
      <c r="A24" s="36" t="s">
        <v>26</v>
      </c>
      <c r="B24" s="36"/>
      <c r="C24" s="36"/>
      <c r="D24" s="36"/>
      <c r="E24" s="36"/>
    </row>
    <row r="25" spans="1:6">
      <c r="A25" s="39" t="s">
        <v>27</v>
      </c>
      <c r="B25" s="40">
        <v>24000000</v>
      </c>
    </row>
    <row r="26" spans="1:6">
      <c r="A26" s="45" t="s">
        <v>28</v>
      </c>
      <c r="B26" s="41">
        <f>B25*0.2</f>
        <v>4800000</v>
      </c>
      <c r="C26" s="42">
        <v>0.2</v>
      </c>
    </row>
    <row r="27" spans="1:6" ht="19.5">
      <c r="A27" s="43" t="s">
        <v>29</v>
      </c>
      <c r="B27" s="44">
        <f>B25-B26</f>
        <v>19200000</v>
      </c>
      <c r="C27" t="s">
        <v>30</v>
      </c>
      <c r="D27" s="30" t="s">
        <v>31</v>
      </c>
      <c r="E27" s="31" t="str">
        <f>IF(B27&lt;=E22,"限度内OK","限度超過")</f>
        <v>限度内OK</v>
      </c>
    </row>
    <row r="28" spans="1:6">
      <c r="A28" s="39" t="s">
        <v>32</v>
      </c>
      <c r="B28" s="41">
        <f>B25*0.1</f>
        <v>2400000</v>
      </c>
      <c r="C28" s="42">
        <v>0.1</v>
      </c>
    </row>
    <row r="29" spans="1:6">
      <c r="A29" s="46" t="s">
        <v>33</v>
      </c>
    </row>
  </sheetData>
  <sheetProtection algorithmName="SHA-512" hashValue="e7Y/a/86OToNxD3oY+v12YfCju6fhndXG9K951XFGKa2RR0eFIMnxQxHi8WgbygIoLvKJJEK2oLxYTWi+BKZIw==" saltValue="4JkvFhfgL/qvm3WoPE5kDQ==" spinCount="100000" sheet="1" objects="1" scenarios="1"/>
  <mergeCells count="10">
    <mergeCell ref="A18:E18"/>
    <mergeCell ref="A19:B19"/>
    <mergeCell ref="D19:E19"/>
    <mergeCell ref="A24:E24"/>
    <mergeCell ref="A1:E1"/>
    <mergeCell ref="A2:E2"/>
    <mergeCell ref="B3:E3"/>
    <mergeCell ref="A12:A13"/>
    <mergeCell ref="C12:C13"/>
    <mergeCell ref="E12:E13"/>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①一生分収入</vt:lpstr>
      <vt:lpstr>②家族が必要なお金生活費</vt:lpstr>
      <vt:lpstr>③ご提案</vt:lpstr>
      <vt:lpstr>おまけ</vt:lpstr>
      <vt:lpstr>②家族が必要なお金生活費!Print_Area</vt:lpstr>
      <vt:lpstr>③ご提案!Print_Area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眞治 木全</dc:creator>
  <cp:lastModifiedBy>眞治 木全</cp:lastModifiedBy>
  <dcterms:created xsi:type="dcterms:W3CDTF">2026-02-14T07:19:00Z</dcterms:created>
  <dcterms:modified xsi:type="dcterms:W3CDTF">2026-02-14T07:22:37Z</dcterms:modified>
</cp:coreProperties>
</file>